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00" windowHeight="10485"/>
  </bookViews>
  <sheets>
    <sheet name="診療所" sheetId="1" r:id="rId1"/>
  </sheets>
  <definedNames>
    <definedName name="_xlnm._FilterDatabase" localSheetId="0" hidden="1">診療所!$A$3:$AX$806</definedName>
  </definedNames>
  <calcPr calcId="162913"/>
</workbook>
</file>

<file path=xl/calcChain.xml><?xml version="1.0" encoding="utf-8"?>
<calcChain xmlns="http://schemas.openxmlformats.org/spreadsheetml/2006/main">
  <c r="C279" i="1" l="1"/>
  <c r="F269" i="1"/>
  <c r="F267" i="1"/>
  <c r="F497" i="1" l="1"/>
  <c r="B497" i="1"/>
  <c r="B13" i="1"/>
  <c r="B281" i="1"/>
  <c r="E280" i="1"/>
  <c r="B700" i="1" l="1"/>
  <c r="F700" i="1"/>
  <c r="F699" i="1"/>
  <c r="F696" i="1"/>
  <c r="F685" i="1"/>
  <c r="A786" i="1" l="1"/>
  <c r="A4" i="1" l="1"/>
  <c r="B4" i="1"/>
  <c r="C4" i="1"/>
  <c r="E4" i="1"/>
  <c r="F4" i="1"/>
  <c r="H4" i="1"/>
  <c r="G4" i="1"/>
  <c r="A5" i="1"/>
  <c r="B5" i="1"/>
  <c r="C5" i="1"/>
  <c r="E5" i="1"/>
  <c r="F5" i="1"/>
  <c r="H5" i="1"/>
  <c r="G5" i="1"/>
  <c r="A6" i="1"/>
  <c r="B6" i="1"/>
  <c r="C6" i="1"/>
  <c r="E6" i="1"/>
  <c r="F6" i="1"/>
  <c r="H6" i="1"/>
  <c r="G6" i="1"/>
  <c r="A7" i="1"/>
  <c r="B7" i="1"/>
  <c r="C7" i="1"/>
  <c r="E7" i="1"/>
  <c r="F7" i="1"/>
  <c r="H7" i="1"/>
  <c r="G7" i="1"/>
  <c r="A8" i="1"/>
  <c r="B8" i="1"/>
  <c r="C8" i="1"/>
  <c r="E8" i="1"/>
  <c r="F8" i="1"/>
  <c r="H8" i="1"/>
  <c r="G8" i="1"/>
  <c r="A9" i="1"/>
  <c r="B9" i="1"/>
  <c r="C9" i="1"/>
  <c r="E9" i="1"/>
  <c r="F9" i="1"/>
  <c r="H9" i="1"/>
  <c r="G9" i="1"/>
  <c r="A10" i="1"/>
  <c r="B10" i="1"/>
  <c r="C10" i="1"/>
  <c r="E10" i="1"/>
  <c r="F10" i="1"/>
  <c r="H10" i="1"/>
  <c r="G10" i="1"/>
  <c r="A11" i="1"/>
  <c r="B11" i="1"/>
  <c r="C11" i="1"/>
  <c r="E11" i="1"/>
  <c r="F11" i="1"/>
  <c r="H11" i="1"/>
  <c r="G11" i="1"/>
  <c r="A12" i="1"/>
  <c r="B12" i="1"/>
  <c r="C12" i="1"/>
  <c r="E12" i="1"/>
  <c r="F12" i="1"/>
  <c r="H12" i="1"/>
  <c r="G12" i="1"/>
  <c r="A13" i="1"/>
  <c r="C13" i="1"/>
  <c r="E13" i="1"/>
  <c r="F13" i="1"/>
  <c r="H13" i="1"/>
  <c r="G13" i="1"/>
  <c r="A14" i="1"/>
  <c r="B14" i="1"/>
  <c r="C14" i="1"/>
  <c r="E14" i="1"/>
  <c r="F14" i="1"/>
  <c r="H14" i="1"/>
  <c r="G14" i="1"/>
  <c r="A15" i="1"/>
  <c r="B15" i="1"/>
  <c r="C15" i="1"/>
  <c r="E15" i="1"/>
  <c r="F15" i="1"/>
  <c r="H15" i="1"/>
  <c r="G15" i="1"/>
  <c r="A16" i="1"/>
  <c r="B16" i="1"/>
  <c r="C16" i="1"/>
  <c r="E16" i="1"/>
  <c r="F16" i="1"/>
  <c r="H16" i="1"/>
  <c r="G16" i="1"/>
  <c r="A17" i="1"/>
  <c r="B17" i="1"/>
  <c r="C17" i="1"/>
  <c r="E17" i="1"/>
  <c r="F17" i="1"/>
  <c r="H17" i="1"/>
  <c r="G17" i="1"/>
  <c r="A18" i="1"/>
  <c r="B18" i="1"/>
  <c r="C18" i="1"/>
  <c r="E18" i="1"/>
  <c r="F18" i="1"/>
  <c r="H18" i="1"/>
  <c r="G18" i="1"/>
  <c r="A19" i="1"/>
  <c r="B19" i="1"/>
  <c r="C19" i="1"/>
  <c r="E19" i="1"/>
  <c r="F19" i="1"/>
  <c r="H19" i="1"/>
  <c r="G19" i="1"/>
  <c r="A20" i="1"/>
  <c r="B20" i="1"/>
  <c r="C20" i="1"/>
  <c r="E20" i="1"/>
  <c r="F20" i="1"/>
  <c r="H20" i="1"/>
  <c r="G20" i="1"/>
  <c r="A21" i="1"/>
  <c r="B21" i="1"/>
  <c r="C21" i="1"/>
  <c r="E21" i="1"/>
  <c r="F21" i="1"/>
  <c r="H21" i="1"/>
  <c r="G21" i="1"/>
  <c r="A22" i="1"/>
  <c r="B22" i="1"/>
  <c r="C22" i="1"/>
  <c r="E22" i="1"/>
  <c r="F22" i="1"/>
  <c r="H22" i="1"/>
  <c r="G22" i="1"/>
  <c r="A23" i="1"/>
  <c r="B23" i="1"/>
  <c r="C23" i="1"/>
  <c r="E23" i="1"/>
  <c r="F23" i="1"/>
  <c r="H23" i="1"/>
  <c r="G23" i="1"/>
  <c r="A24" i="1"/>
  <c r="B24" i="1"/>
  <c r="C24" i="1"/>
  <c r="E24" i="1"/>
  <c r="F24" i="1"/>
  <c r="H24" i="1"/>
  <c r="G24" i="1"/>
  <c r="A25" i="1"/>
  <c r="B25" i="1"/>
  <c r="C25" i="1"/>
  <c r="E25" i="1"/>
  <c r="F25" i="1"/>
  <c r="H25" i="1"/>
  <c r="G25" i="1"/>
  <c r="A26" i="1"/>
  <c r="B26" i="1"/>
  <c r="C26" i="1"/>
  <c r="E26" i="1"/>
  <c r="F26" i="1"/>
  <c r="H26" i="1"/>
  <c r="G26" i="1"/>
  <c r="A27" i="1"/>
  <c r="B27" i="1"/>
  <c r="C27" i="1"/>
  <c r="E27" i="1"/>
  <c r="F27" i="1"/>
  <c r="H27" i="1"/>
  <c r="G27" i="1"/>
  <c r="A28" i="1"/>
  <c r="B28" i="1"/>
  <c r="C28" i="1"/>
  <c r="E28" i="1"/>
  <c r="F28" i="1"/>
  <c r="H28" i="1"/>
  <c r="G28" i="1"/>
  <c r="A29" i="1"/>
  <c r="B29" i="1"/>
  <c r="C29" i="1"/>
  <c r="E29" i="1"/>
  <c r="F29" i="1"/>
  <c r="H29" i="1"/>
  <c r="G29" i="1"/>
  <c r="A30" i="1"/>
  <c r="B30" i="1"/>
  <c r="C30" i="1"/>
  <c r="E30" i="1"/>
  <c r="F30" i="1"/>
  <c r="H30" i="1"/>
  <c r="G30" i="1"/>
  <c r="A31" i="1"/>
  <c r="B31" i="1"/>
  <c r="C31" i="1"/>
  <c r="E31" i="1"/>
  <c r="F31" i="1"/>
  <c r="H31" i="1"/>
  <c r="G31" i="1"/>
  <c r="A32" i="1"/>
  <c r="B32" i="1"/>
  <c r="C32" i="1"/>
  <c r="E32" i="1"/>
  <c r="F32" i="1"/>
  <c r="H32" i="1"/>
  <c r="G32" i="1"/>
  <c r="A33" i="1"/>
  <c r="B33" i="1"/>
  <c r="C33" i="1"/>
  <c r="E33" i="1"/>
  <c r="F33" i="1"/>
  <c r="H33" i="1"/>
  <c r="G33" i="1"/>
  <c r="A34" i="1"/>
  <c r="B34" i="1"/>
  <c r="C34" i="1"/>
  <c r="E34" i="1"/>
  <c r="F34" i="1"/>
  <c r="H34" i="1"/>
  <c r="G34" i="1"/>
  <c r="A35" i="1"/>
  <c r="B35" i="1"/>
  <c r="C35" i="1"/>
  <c r="E35" i="1"/>
  <c r="F35" i="1"/>
  <c r="H35" i="1"/>
  <c r="G35" i="1"/>
  <c r="A36" i="1"/>
  <c r="B36" i="1"/>
  <c r="C36" i="1"/>
  <c r="E36" i="1"/>
  <c r="F36" i="1"/>
  <c r="H36" i="1"/>
  <c r="G36" i="1"/>
  <c r="A37" i="1"/>
  <c r="B37" i="1"/>
  <c r="C37" i="1"/>
  <c r="E37" i="1"/>
  <c r="F37" i="1"/>
  <c r="H37" i="1"/>
  <c r="G37" i="1"/>
  <c r="A38" i="1"/>
  <c r="B38" i="1"/>
  <c r="C38" i="1"/>
  <c r="E38" i="1"/>
  <c r="F38" i="1"/>
  <c r="H38" i="1"/>
  <c r="G38" i="1"/>
  <c r="A39" i="1"/>
  <c r="B39" i="1"/>
  <c r="C39" i="1"/>
  <c r="E39" i="1"/>
  <c r="F39" i="1"/>
  <c r="H39" i="1"/>
  <c r="G39" i="1"/>
  <c r="A40" i="1"/>
  <c r="B40" i="1"/>
  <c r="C40" i="1"/>
  <c r="E40" i="1"/>
  <c r="F40" i="1"/>
  <c r="H40" i="1"/>
  <c r="G40" i="1"/>
  <c r="A41" i="1"/>
  <c r="B41" i="1"/>
  <c r="C41" i="1"/>
  <c r="E41" i="1"/>
  <c r="F41" i="1"/>
  <c r="H41" i="1"/>
  <c r="G41" i="1"/>
  <c r="A42" i="1"/>
  <c r="B42" i="1"/>
  <c r="C42" i="1"/>
  <c r="E42" i="1"/>
  <c r="F42" i="1"/>
  <c r="H42" i="1"/>
  <c r="G42" i="1"/>
  <c r="A43" i="1"/>
  <c r="B43" i="1"/>
  <c r="C43" i="1"/>
  <c r="E43" i="1"/>
  <c r="F43" i="1"/>
  <c r="H43" i="1"/>
  <c r="G43" i="1"/>
  <c r="A44" i="1"/>
  <c r="B44" i="1"/>
  <c r="C44" i="1"/>
  <c r="E44" i="1"/>
  <c r="F44" i="1"/>
  <c r="H44" i="1"/>
  <c r="G44" i="1"/>
  <c r="A45" i="1"/>
  <c r="B45" i="1"/>
  <c r="C45" i="1"/>
  <c r="E45" i="1"/>
  <c r="F45" i="1"/>
  <c r="H45" i="1"/>
  <c r="G45" i="1"/>
  <c r="A46" i="1"/>
  <c r="B46" i="1"/>
  <c r="C46" i="1"/>
  <c r="E46" i="1"/>
  <c r="F46" i="1"/>
  <c r="H46" i="1"/>
  <c r="G46" i="1"/>
  <c r="A47" i="1"/>
  <c r="B47" i="1"/>
  <c r="C47" i="1"/>
  <c r="E47" i="1"/>
  <c r="F47" i="1"/>
  <c r="H47" i="1"/>
  <c r="G47" i="1"/>
  <c r="A48" i="1"/>
  <c r="B48" i="1"/>
  <c r="C48" i="1"/>
  <c r="E48" i="1"/>
  <c r="F48" i="1"/>
  <c r="H48" i="1"/>
  <c r="G48" i="1"/>
  <c r="A49" i="1"/>
  <c r="B49" i="1"/>
  <c r="C49" i="1"/>
  <c r="E49" i="1"/>
  <c r="F49" i="1"/>
  <c r="H49" i="1"/>
  <c r="G49" i="1"/>
  <c r="A50" i="1"/>
  <c r="B50" i="1"/>
  <c r="C50" i="1"/>
  <c r="E50" i="1"/>
  <c r="F50" i="1"/>
  <c r="H50" i="1"/>
  <c r="G50" i="1"/>
  <c r="A51" i="1"/>
  <c r="B51" i="1"/>
  <c r="C51" i="1"/>
  <c r="E51" i="1"/>
  <c r="F51" i="1"/>
  <c r="H51" i="1"/>
  <c r="G51" i="1"/>
  <c r="A52" i="1"/>
  <c r="B52" i="1"/>
  <c r="C52" i="1"/>
  <c r="E52" i="1"/>
  <c r="F52" i="1"/>
  <c r="H52" i="1"/>
  <c r="G52" i="1"/>
  <c r="A53" i="1"/>
  <c r="B53" i="1"/>
  <c r="C53" i="1"/>
  <c r="E53" i="1"/>
  <c r="F53" i="1"/>
  <c r="H53" i="1"/>
  <c r="G53" i="1"/>
  <c r="A54" i="1"/>
  <c r="B54" i="1"/>
  <c r="C54" i="1"/>
  <c r="E54" i="1"/>
  <c r="F54" i="1"/>
  <c r="H54" i="1"/>
  <c r="G54" i="1"/>
  <c r="A55" i="1"/>
  <c r="B55" i="1"/>
  <c r="C55" i="1"/>
  <c r="E55" i="1"/>
  <c r="F55" i="1"/>
  <c r="H55" i="1"/>
  <c r="G55" i="1"/>
  <c r="A56" i="1"/>
  <c r="B56" i="1"/>
  <c r="C56" i="1"/>
  <c r="E56" i="1"/>
  <c r="F56" i="1"/>
  <c r="H56" i="1"/>
  <c r="G56" i="1"/>
  <c r="A57" i="1"/>
  <c r="B57" i="1"/>
  <c r="C57" i="1"/>
  <c r="E57" i="1"/>
  <c r="F57" i="1"/>
  <c r="H57" i="1"/>
  <c r="G57" i="1"/>
  <c r="A58" i="1"/>
  <c r="B58" i="1"/>
  <c r="C58" i="1"/>
  <c r="E58" i="1"/>
  <c r="F58" i="1"/>
  <c r="H58" i="1"/>
  <c r="G58" i="1"/>
  <c r="A59" i="1"/>
  <c r="B59" i="1"/>
  <c r="C59" i="1"/>
  <c r="E59" i="1"/>
  <c r="F59" i="1"/>
  <c r="H59" i="1"/>
  <c r="G59" i="1"/>
  <c r="A60" i="1"/>
  <c r="B60" i="1"/>
  <c r="C60" i="1"/>
  <c r="E60" i="1"/>
  <c r="F60" i="1"/>
  <c r="H60" i="1"/>
  <c r="G60" i="1"/>
  <c r="A61" i="1"/>
  <c r="B61" i="1"/>
  <c r="C61" i="1"/>
  <c r="E61" i="1"/>
  <c r="F61" i="1"/>
  <c r="H61" i="1"/>
  <c r="G61" i="1"/>
  <c r="A62" i="1"/>
  <c r="B62" i="1"/>
  <c r="C62" i="1"/>
  <c r="E62" i="1"/>
  <c r="F62" i="1"/>
  <c r="H62" i="1"/>
  <c r="G62" i="1"/>
  <c r="A63" i="1"/>
  <c r="B63" i="1"/>
  <c r="C63" i="1"/>
  <c r="E63" i="1"/>
  <c r="F63" i="1"/>
  <c r="H63" i="1"/>
  <c r="G63" i="1"/>
  <c r="A64" i="1"/>
  <c r="B64" i="1"/>
  <c r="C64" i="1"/>
  <c r="E64" i="1"/>
  <c r="F64" i="1"/>
  <c r="H64" i="1"/>
  <c r="G64" i="1"/>
  <c r="A65" i="1"/>
  <c r="B65" i="1"/>
  <c r="C65" i="1"/>
  <c r="E65" i="1"/>
  <c r="F65" i="1"/>
  <c r="H65" i="1"/>
  <c r="G65" i="1"/>
  <c r="A66" i="1"/>
  <c r="B66" i="1"/>
  <c r="C66" i="1"/>
  <c r="E66" i="1"/>
  <c r="F66" i="1"/>
  <c r="H66" i="1"/>
  <c r="G66" i="1"/>
  <c r="A67" i="1"/>
  <c r="B67" i="1"/>
  <c r="C67" i="1"/>
  <c r="E67" i="1"/>
  <c r="F67" i="1"/>
  <c r="H67" i="1"/>
  <c r="G67" i="1"/>
  <c r="A68" i="1"/>
  <c r="B68" i="1"/>
  <c r="C68" i="1"/>
  <c r="E68" i="1"/>
  <c r="F68" i="1"/>
  <c r="H68" i="1"/>
  <c r="G68" i="1"/>
  <c r="A69" i="1"/>
  <c r="B69" i="1"/>
  <c r="C69" i="1"/>
  <c r="E69" i="1"/>
  <c r="F69" i="1"/>
  <c r="H69" i="1"/>
  <c r="G69" i="1"/>
  <c r="A70" i="1"/>
  <c r="B70" i="1"/>
  <c r="C70" i="1"/>
  <c r="E70" i="1"/>
  <c r="F70" i="1"/>
  <c r="H70" i="1"/>
  <c r="G70" i="1"/>
  <c r="A71" i="1"/>
  <c r="B71" i="1"/>
  <c r="C71" i="1"/>
  <c r="E71" i="1"/>
  <c r="F71" i="1"/>
  <c r="H71" i="1"/>
  <c r="G71" i="1"/>
  <c r="A72" i="1"/>
  <c r="B72" i="1"/>
  <c r="C72" i="1"/>
  <c r="E72" i="1"/>
  <c r="F72" i="1"/>
  <c r="H72" i="1"/>
  <c r="G72" i="1"/>
  <c r="A73" i="1"/>
  <c r="B73" i="1"/>
  <c r="C73" i="1"/>
  <c r="E73" i="1"/>
  <c r="F73" i="1"/>
  <c r="H73" i="1"/>
  <c r="G73" i="1"/>
  <c r="A74" i="1"/>
  <c r="B74" i="1"/>
  <c r="C74" i="1"/>
  <c r="E74" i="1"/>
  <c r="F74" i="1"/>
  <c r="H74" i="1"/>
  <c r="G74" i="1"/>
  <c r="A75" i="1"/>
  <c r="B75" i="1"/>
  <c r="C75" i="1"/>
  <c r="E75" i="1"/>
  <c r="F75" i="1"/>
  <c r="H75" i="1"/>
  <c r="G75" i="1"/>
  <c r="A76" i="1"/>
  <c r="B76" i="1"/>
  <c r="C76" i="1"/>
  <c r="E76" i="1"/>
  <c r="F76" i="1"/>
  <c r="H76" i="1"/>
  <c r="G76" i="1"/>
  <c r="A77" i="1"/>
  <c r="B77" i="1"/>
  <c r="C77" i="1"/>
  <c r="E77" i="1"/>
  <c r="F77" i="1"/>
  <c r="H77" i="1"/>
  <c r="G77" i="1"/>
  <c r="A78" i="1"/>
  <c r="B78" i="1"/>
  <c r="C78" i="1"/>
  <c r="E78" i="1"/>
  <c r="F78" i="1"/>
  <c r="H78" i="1"/>
  <c r="G78" i="1"/>
  <c r="A79" i="1"/>
  <c r="B79" i="1"/>
  <c r="C79" i="1"/>
  <c r="E79" i="1"/>
  <c r="F79" i="1"/>
  <c r="H79" i="1"/>
  <c r="G79" i="1"/>
  <c r="A80" i="1"/>
  <c r="B80" i="1"/>
  <c r="C80" i="1"/>
  <c r="E80" i="1"/>
  <c r="F80" i="1"/>
  <c r="H80" i="1"/>
  <c r="G80" i="1"/>
  <c r="A81" i="1"/>
  <c r="B81" i="1"/>
  <c r="C81" i="1"/>
  <c r="E81" i="1"/>
  <c r="F81" i="1"/>
  <c r="H81" i="1"/>
  <c r="G81" i="1"/>
  <c r="A82" i="1"/>
  <c r="B82" i="1"/>
  <c r="C82" i="1"/>
  <c r="E82" i="1"/>
  <c r="F82" i="1"/>
  <c r="H82" i="1"/>
  <c r="G82" i="1"/>
  <c r="A83" i="1"/>
  <c r="B83" i="1"/>
  <c r="C83" i="1"/>
  <c r="E83" i="1"/>
  <c r="F83" i="1"/>
  <c r="H83" i="1"/>
  <c r="G83" i="1"/>
  <c r="A84" i="1"/>
  <c r="B84" i="1"/>
  <c r="C84" i="1"/>
  <c r="E84" i="1"/>
  <c r="F84" i="1"/>
  <c r="H84" i="1"/>
  <c r="G84" i="1"/>
  <c r="A85" i="1"/>
  <c r="B85" i="1"/>
  <c r="C85" i="1"/>
  <c r="E85" i="1"/>
  <c r="F85" i="1"/>
  <c r="H85" i="1"/>
  <c r="G85" i="1"/>
  <c r="A86" i="1"/>
  <c r="B86" i="1"/>
  <c r="C86" i="1"/>
  <c r="E86" i="1"/>
  <c r="F86" i="1"/>
  <c r="H86" i="1"/>
  <c r="G86" i="1"/>
  <c r="A87" i="1"/>
  <c r="B87" i="1"/>
  <c r="C87" i="1"/>
  <c r="E87" i="1"/>
  <c r="F87" i="1"/>
  <c r="H87" i="1"/>
  <c r="G87" i="1"/>
  <c r="A88" i="1"/>
  <c r="B88" i="1"/>
  <c r="C88" i="1"/>
  <c r="E88" i="1"/>
  <c r="F88" i="1"/>
  <c r="H88" i="1"/>
  <c r="G88" i="1"/>
  <c r="A89" i="1"/>
  <c r="B89" i="1"/>
  <c r="C89" i="1"/>
  <c r="E89" i="1"/>
  <c r="F89" i="1"/>
  <c r="H89" i="1"/>
  <c r="G89" i="1"/>
  <c r="A90" i="1"/>
  <c r="B90" i="1"/>
  <c r="C90" i="1"/>
  <c r="E90" i="1"/>
  <c r="F90" i="1"/>
  <c r="H90" i="1"/>
  <c r="G90" i="1"/>
  <c r="A91" i="1"/>
  <c r="B91" i="1"/>
  <c r="C91" i="1"/>
  <c r="E91" i="1"/>
  <c r="F91" i="1"/>
  <c r="H91" i="1"/>
  <c r="G91" i="1"/>
  <c r="A92" i="1"/>
  <c r="B92" i="1"/>
  <c r="C92" i="1"/>
  <c r="E92" i="1"/>
  <c r="F92" i="1"/>
  <c r="H92" i="1"/>
  <c r="G92" i="1"/>
  <c r="A93" i="1"/>
  <c r="B93" i="1"/>
  <c r="C93" i="1"/>
  <c r="E93" i="1"/>
  <c r="F93" i="1"/>
  <c r="H93" i="1"/>
  <c r="G93" i="1"/>
  <c r="A94" i="1"/>
  <c r="B94" i="1"/>
  <c r="C94" i="1"/>
  <c r="E94" i="1"/>
  <c r="F94" i="1"/>
  <c r="H94" i="1"/>
  <c r="G94" i="1"/>
  <c r="A95" i="1"/>
  <c r="B95" i="1"/>
  <c r="C95" i="1"/>
  <c r="E95" i="1"/>
  <c r="F95" i="1"/>
  <c r="H95" i="1"/>
  <c r="G95" i="1"/>
  <c r="A96" i="1"/>
  <c r="B96" i="1"/>
  <c r="C96" i="1"/>
  <c r="E96" i="1"/>
  <c r="F96" i="1"/>
  <c r="H96" i="1"/>
  <c r="G96" i="1"/>
  <c r="A97" i="1"/>
  <c r="B97" i="1"/>
  <c r="C97" i="1"/>
  <c r="E97" i="1"/>
  <c r="F97" i="1"/>
  <c r="H97" i="1"/>
  <c r="G97" i="1"/>
  <c r="A98" i="1"/>
  <c r="B98" i="1"/>
  <c r="C98" i="1"/>
  <c r="E98" i="1"/>
  <c r="F98" i="1"/>
  <c r="H98" i="1"/>
  <c r="G98" i="1"/>
  <c r="A99" i="1"/>
  <c r="B99" i="1"/>
  <c r="C99" i="1"/>
  <c r="E99" i="1"/>
  <c r="F99" i="1"/>
  <c r="H99" i="1"/>
  <c r="G99" i="1"/>
  <c r="A100" i="1"/>
  <c r="B100" i="1"/>
  <c r="C100" i="1"/>
  <c r="E100" i="1"/>
  <c r="F100" i="1"/>
  <c r="H100" i="1"/>
  <c r="G100" i="1"/>
  <c r="A101" i="1"/>
  <c r="B101" i="1"/>
  <c r="C101" i="1"/>
  <c r="E101" i="1"/>
  <c r="F101" i="1"/>
  <c r="H101" i="1"/>
  <c r="G101" i="1"/>
  <c r="A102" i="1"/>
  <c r="B102" i="1"/>
  <c r="C102" i="1"/>
  <c r="E102" i="1"/>
  <c r="F102" i="1"/>
  <c r="H102" i="1"/>
  <c r="G102" i="1"/>
  <c r="A103" i="1"/>
  <c r="B103" i="1"/>
  <c r="C103" i="1"/>
  <c r="E103" i="1"/>
  <c r="F103" i="1"/>
  <c r="H103" i="1"/>
  <c r="G103" i="1"/>
  <c r="A104" i="1"/>
  <c r="B104" i="1"/>
  <c r="C104" i="1"/>
  <c r="E104" i="1"/>
  <c r="F104" i="1"/>
  <c r="H104" i="1"/>
  <c r="G104" i="1"/>
  <c r="A105" i="1"/>
  <c r="B105" i="1"/>
  <c r="C105" i="1"/>
  <c r="E105" i="1"/>
  <c r="F105" i="1"/>
  <c r="H105" i="1"/>
  <c r="G105" i="1"/>
  <c r="A106" i="1"/>
  <c r="B106" i="1"/>
  <c r="C106" i="1"/>
  <c r="E106" i="1"/>
  <c r="F106" i="1"/>
  <c r="H106" i="1"/>
  <c r="G106" i="1"/>
  <c r="A107" i="1"/>
  <c r="B107" i="1"/>
  <c r="C107" i="1"/>
  <c r="E107" i="1"/>
  <c r="F107" i="1"/>
  <c r="H107" i="1"/>
  <c r="G107" i="1"/>
  <c r="A108" i="1"/>
  <c r="B108" i="1"/>
  <c r="C108" i="1"/>
  <c r="E108" i="1"/>
  <c r="F108" i="1"/>
  <c r="H108" i="1"/>
  <c r="G108" i="1"/>
  <c r="A109" i="1"/>
  <c r="B109" i="1"/>
  <c r="C109" i="1"/>
  <c r="E109" i="1"/>
  <c r="F109" i="1"/>
  <c r="H109" i="1"/>
  <c r="G109" i="1"/>
  <c r="A110" i="1"/>
  <c r="B110" i="1"/>
  <c r="C110" i="1"/>
  <c r="E110" i="1"/>
  <c r="F110" i="1"/>
  <c r="H110" i="1"/>
  <c r="G110" i="1"/>
  <c r="A111" i="1"/>
  <c r="B111" i="1"/>
  <c r="C111" i="1"/>
  <c r="E111" i="1"/>
  <c r="F111" i="1"/>
  <c r="H111" i="1"/>
  <c r="G111" i="1"/>
  <c r="A112" i="1"/>
  <c r="B112" i="1"/>
  <c r="C112" i="1"/>
  <c r="E112" i="1"/>
  <c r="F112" i="1"/>
  <c r="H112" i="1"/>
  <c r="G112" i="1"/>
  <c r="A113" i="1"/>
  <c r="B113" i="1"/>
  <c r="C113" i="1"/>
  <c r="E113" i="1"/>
  <c r="F113" i="1"/>
  <c r="H113" i="1"/>
  <c r="G113" i="1"/>
  <c r="A114" i="1"/>
  <c r="B114" i="1"/>
  <c r="C114" i="1"/>
  <c r="E114" i="1"/>
  <c r="F114" i="1"/>
  <c r="H114" i="1"/>
  <c r="G114" i="1"/>
  <c r="A115" i="1"/>
  <c r="B115" i="1"/>
  <c r="C115" i="1"/>
  <c r="E115" i="1"/>
  <c r="F115" i="1"/>
  <c r="H115" i="1"/>
  <c r="G115" i="1"/>
  <c r="A116" i="1"/>
  <c r="B116" i="1"/>
  <c r="C116" i="1"/>
  <c r="E116" i="1"/>
  <c r="F116" i="1"/>
  <c r="H116" i="1"/>
  <c r="G116" i="1"/>
  <c r="A117" i="1"/>
  <c r="B117" i="1"/>
  <c r="C117" i="1"/>
  <c r="E117" i="1"/>
  <c r="F117" i="1"/>
  <c r="H117" i="1"/>
  <c r="G117" i="1"/>
  <c r="A118" i="1"/>
  <c r="B118" i="1"/>
  <c r="C118" i="1"/>
  <c r="E118" i="1"/>
  <c r="F118" i="1"/>
  <c r="H118" i="1"/>
  <c r="G118" i="1"/>
  <c r="A119" i="1"/>
  <c r="B119" i="1"/>
  <c r="C119" i="1"/>
  <c r="E119" i="1"/>
  <c r="F119" i="1"/>
  <c r="H119" i="1"/>
  <c r="G119" i="1"/>
  <c r="A120" i="1"/>
  <c r="B120" i="1"/>
  <c r="C120" i="1"/>
  <c r="E120" i="1"/>
  <c r="F120" i="1"/>
  <c r="H120" i="1"/>
  <c r="G120" i="1"/>
  <c r="A121" i="1"/>
  <c r="B121" i="1"/>
  <c r="C121" i="1"/>
  <c r="E121" i="1"/>
  <c r="F121" i="1"/>
  <c r="H121" i="1"/>
  <c r="G121" i="1"/>
  <c r="A122" i="1"/>
  <c r="B122" i="1"/>
  <c r="C122" i="1"/>
  <c r="E122" i="1"/>
  <c r="F122" i="1"/>
  <c r="H122" i="1"/>
  <c r="G122" i="1"/>
  <c r="A123" i="1"/>
  <c r="B123" i="1"/>
  <c r="C123" i="1"/>
  <c r="E123" i="1"/>
  <c r="F123" i="1"/>
  <c r="H123" i="1"/>
  <c r="G123" i="1"/>
  <c r="A124" i="1"/>
  <c r="B124" i="1"/>
  <c r="C124" i="1"/>
  <c r="E124" i="1"/>
  <c r="F124" i="1"/>
  <c r="H124" i="1"/>
  <c r="G124" i="1"/>
  <c r="A125" i="1"/>
  <c r="B125" i="1"/>
  <c r="C125" i="1"/>
  <c r="E125" i="1"/>
  <c r="F125" i="1"/>
  <c r="H125" i="1"/>
  <c r="G125" i="1"/>
  <c r="A126" i="1"/>
  <c r="B126" i="1"/>
  <c r="C126" i="1"/>
  <c r="E126" i="1"/>
  <c r="F126" i="1"/>
  <c r="H126" i="1"/>
  <c r="G126" i="1"/>
  <c r="A127" i="1"/>
  <c r="B127" i="1"/>
  <c r="C127" i="1"/>
  <c r="E127" i="1"/>
  <c r="F127" i="1"/>
  <c r="H127" i="1"/>
  <c r="G127" i="1"/>
  <c r="A128" i="1"/>
  <c r="B128" i="1"/>
  <c r="C128" i="1"/>
  <c r="E128" i="1"/>
  <c r="F128" i="1"/>
  <c r="H128" i="1"/>
  <c r="G128" i="1"/>
  <c r="A129" i="1"/>
  <c r="B129" i="1"/>
  <c r="C129" i="1"/>
  <c r="E129" i="1"/>
  <c r="F129" i="1"/>
  <c r="H129" i="1"/>
  <c r="G129" i="1"/>
  <c r="A130" i="1"/>
  <c r="B130" i="1"/>
  <c r="C130" i="1"/>
  <c r="E130" i="1"/>
  <c r="F130" i="1"/>
  <c r="H130" i="1"/>
  <c r="G130" i="1"/>
  <c r="A131" i="1"/>
  <c r="B131" i="1"/>
  <c r="C131" i="1"/>
  <c r="E131" i="1"/>
  <c r="F131" i="1"/>
  <c r="H131" i="1"/>
  <c r="G131" i="1"/>
  <c r="A132" i="1"/>
  <c r="B132" i="1"/>
  <c r="C132" i="1"/>
  <c r="E132" i="1"/>
  <c r="F132" i="1"/>
  <c r="H132" i="1"/>
  <c r="G132" i="1"/>
  <c r="A133" i="1"/>
  <c r="B133" i="1"/>
  <c r="C133" i="1"/>
  <c r="E133" i="1"/>
  <c r="F133" i="1"/>
  <c r="H133" i="1"/>
  <c r="G133" i="1"/>
  <c r="A134" i="1"/>
  <c r="B134" i="1"/>
  <c r="C134" i="1"/>
  <c r="E134" i="1"/>
  <c r="F134" i="1"/>
  <c r="H134" i="1"/>
  <c r="G134" i="1"/>
  <c r="A135" i="1"/>
  <c r="B135" i="1"/>
  <c r="C135" i="1"/>
  <c r="E135" i="1"/>
  <c r="F135" i="1"/>
  <c r="H135" i="1"/>
  <c r="G135" i="1"/>
  <c r="A136" i="1"/>
  <c r="B136" i="1"/>
  <c r="C136" i="1"/>
  <c r="E136" i="1"/>
  <c r="F136" i="1"/>
  <c r="H136" i="1"/>
  <c r="G136" i="1"/>
  <c r="A137" i="1"/>
  <c r="B137" i="1"/>
  <c r="C137" i="1"/>
  <c r="E137" i="1"/>
  <c r="F137" i="1"/>
  <c r="H137" i="1"/>
  <c r="G137" i="1"/>
  <c r="A138" i="1"/>
  <c r="B138" i="1"/>
  <c r="C138" i="1"/>
  <c r="E138" i="1"/>
  <c r="F138" i="1"/>
  <c r="H138" i="1"/>
  <c r="G138" i="1"/>
  <c r="A139" i="1"/>
  <c r="B139" i="1"/>
  <c r="C139" i="1"/>
  <c r="E139" i="1"/>
  <c r="F139" i="1"/>
  <c r="H139" i="1"/>
  <c r="G139" i="1"/>
  <c r="A140" i="1"/>
  <c r="B140" i="1"/>
  <c r="C140" i="1"/>
  <c r="E140" i="1"/>
  <c r="F140" i="1"/>
  <c r="H140" i="1"/>
  <c r="G140" i="1"/>
  <c r="A141" i="1"/>
  <c r="B141" i="1"/>
  <c r="C141" i="1"/>
  <c r="E141" i="1"/>
  <c r="F141" i="1"/>
  <c r="H141" i="1"/>
  <c r="G141" i="1"/>
  <c r="A142" i="1"/>
  <c r="B142" i="1"/>
  <c r="C142" i="1"/>
  <c r="E142" i="1"/>
  <c r="F142" i="1"/>
  <c r="H142" i="1"/>
  <c r="G142" i="1"/>
  <c r="A143" i="1"/>
  <c r="B143" i="1"/>
  <c r="C143" i="1"/>
  <c r="E143" i="1"/>
  <c r="F143" i="1"/>
  <c r="H143" i="1"/>
  <c r="G143" i="1"/>
  <c r="A144" i="1"/>
  <c r="B144" i="1"/>
  <c r="C144" i="1"/>
  <c r="E144" i="1"/>
  <c r="F144" i="1"/>
  <c r="H144" i="1"/>
  <c r="G144" i="1"/>
  <c r="A145" i="1"/>
  <c r="B145" i="1"/>
  <c r="C145" i="1"/>
  <c r="E145" i="1"/>
  <c r="F145" i="1"/>
  <c r="H145" i="1"/>
  <c r="G145" i="1"/>
  <c r="A146" i="1"/>
  <c r="B146" i="1"/>
  <c r="C146" i="1"/>
  <c r="E146" i="1"/>
  <c r="F146" i="1"/>
  <c r="H146" i="1"/>
  <c r="G146" i="1"/>
  <c r="A147" i="1"/>
  <c r="B147" i="1"/>
  <c r="C147" i="1"/>
  <c r="E147" i="1"/>
  <c r="F147" i="1"/>
  <c r="H147" i="1"/>
  <c r="G147" i="1"/>
  <c r="A148" i="1"/>
  <c r="B148" i="1"/>
  <c r="C148" i="1"/>
  <c r="E148" i="1"/>
  <c r="F148" i="1"/>
  <c r="H148" i="1"/>
  <c r="G148" i="1"/>
  <c r="A149" i="1"/>
  <c r="B149" i="1"/>
  <c r="C149" i="1"/>
  <c r="E149" i="1"/>
  <c r="F149" i="1"/>
  <c r="H149" i="1"/>
  <c r="G149" i="1"/>
  <c r="A150" i="1"/>
  <c r="B150" i="1"/>
  <c r="C150" i="1"/>
  <c r="E150" i="1"/>
  <c r="F150" i="1"/>
  <c r="H150" i="1"/>
  <c r="G150" i="1"/>
  <c r="A151" i="1"/>
  <c r="B151" i="1"/>
  <c r="C151" i="1"/>
  <c r="E151" i="1"/>
  <c r="F151" i="1"/>
  <c r="H151" i="1"/>
  <c r="G151" i="1"/>
  <c r="A152" i="1"/>
  <c r="B152" i="1"/>
  <c r="C152" i="1"/>
  <c r="E152" i="1"/>
  <c r="F152" i="1"/>
  <c r="H152" i="1"/>
  <c r="G152" i="1"/>
  <c r="A153" i="1"/>
  <c r="B153" i="1"/>
  <c r="C153" i="1"/>
  <c r="E153" i="1"/>
  <c r="F153" i="1"/>
  <c r="H153" i="1"/>
  <c r="G153" i="1"/>
  <c r="A154" i="1"/>
  <c r="B154" i="1"/>
  <c r="C154" i="1"/>
  <c r="E154" i="1"/>
  <c r="F154" i="1"/>
  <c r="H154" i="1"/>
  <c r="G154" i="1"/>
  <c r="A155" i="1"/>
  <c r="B155" i="1"/>
  <c r="C155" i="1"/>
  <c r="E155" i="1"/>
  <c r="F155" i="1"/>
  <c r="H155" i="1"/>
  <c r="G155" i="1"/>
  <c r="A156" i="1"/>
  <c r="B156" i="1"/>
  <c r="C156" i="1"/>
  <c r="E156" i="1"/>
  <c r="F156" i="1"/>
  <c r="H156" i="1"/>
  <c r="G156" i="1"/>
  <c r="A157" i="1"/>
  <c r="B157" i="1"/>
  <c r="C157" i="1"/>
  <c r="E157" i="1"/>
  <c r="F157" i="1"/>
  <c r="H157" i="1"/>
  <c r="G157" i="1"/>
  <c r="A158" i="1"/>
  <c r="B158" i="1"/>
  <c r="C158" i="1"/>
  <c r="E158" i="1"/>
  <c r="F158" i="1"/>
  <c r="H158" i="1"/>
  <c r="G158" i="1"/>
  <c r="A159" i="1"/>
  <c r="B159" i="1"/>
  <c r="C159" i="1"/>
  <c r="E159" i="1"/>
  <c r="F159" i="1"/>
  <c r="H159" i="1"/>
  <c r="G159" i="1"/>
  <c r="A160" i="1"/>
  <c r="B160" i="1"/>
  <c r="C160" i="1"/>
  <c r="E160" i="1"/>
  <c r="F160" i="1"/>
  <c r="H160" i="1"/>
  <c r="G160" i="1"/>
  <c r="A161" i="1"/>
  <c r="B161" i="1"/>
  <c r="C161" i="1"/>
  <c r="E161" i="1"/>
  <c r="F161" i="1"/>
  <c r="H161" i="1"/>
  <c r="G161" i="1"/>
  <c r="A162" i="1"/>
  <c r="B162" i="1"/>
  <c r="C162" i="1"/>
  <c r="E162" i="1"/>
  <c r="F162" i="1"/>
  <c r="H162" i="1"/>
  <c r="G162" i="1"/>
  <c r="A163" i="1"/>
  <c r="B163" i="1"/>
  <c r="C163" i="1"/>
  <c r="E163" i="1"/>
  <c r="F163" i="1"/>
  <c r="H163" i="1"/>
  <c r="G163" i="1"/>
  <c r="A164" i="1"/>
  <c r="B164" i="1"/>
  <c r="C164" i="1"/>
  <c r="E164" i="1"/>
  <c r="F164" i="1"/>
  <c r="H164" i="1"/>
  <c r="G164" i="1"/>
  <c r="A165" i="1"/>
  <c r="B165" i="1"/>
  <c r="C165" i="1"/>
  <c r="E165" i="1"/>
  <c r="F165" i="1"/>
  <c r="H165" i="1"/>
  <c r="G165" i="1"/>
  <c r="A166" i="1"/>
  <c r="B166" i="1"/>
  <c r="C166" i="1"/>
  <c r="E166" i="1"/>
  <c r="F166" i="1"/>
  <c r="H166" i="1"/>
  <c r="G166" i="1"/>
  <c r="A167" i="1"/>
  <c r="B167" i="1"/>
  <c r="C167" i="1"/>
  <c r="E167" i="1"/>
  <c r="F167" i="1"/>
  <c r="H167" i="1"/>
  <c r="G167" i="1"/>
  <c r="A168" i="1"/>
  <c r="B168" i="1"/>
  <c r="C168" i="1"/>
  <c r="E168" i="1"/>
  <c r="F168" i="1"/>
  <c r="H168" i="1"/>
  <c r="G168" i="1"/>
  <c r="A169" i="1"/>
  <c r="B169" i="1"/>
  <c r="C169" i="1"/>
  <c r="E169" i="1"/>
  <c r="F169" i="1"/>
  <c r="H169" i="1"/>
  <c r="G169" i="1"/>
  <c r="A170" i="1"/>
  <c r="B170" i="1"/>
  <c r="C170" i="1"/>
  <c r="E170" i="1"/>
  <c r="F170" i="1"/>
  <c r="H170" i="1"/>
  <c r="G170" i="1"/>
  <c r="A171" i="1"/>
  <c r="B171" i="1"/>
  <c r="C171" i="1"/>
  <c r="E171" i="1"/>
  <c r="F171" i="1"/>
  <c r="H171" i="1"/>
  <c r="G171" i="1"/>
  <c r="A172" i="1"/>
  <c r="B172" i="1"/>
  <c r="C172" i="1"/>
  <c r="E172" i="1"/>
  <c r="F172" i="1"/>
  <c r="H172" i="1"/>
  <c r="G172" i="1"/>
  <c r="A173" i="1"/>
  <c r="B173" i="1"/>
  <c r="C173" i="1"/>
  <c r="E173" i="1"/>
  <c r="F173" i="1"/>
  <c r="H173" i="1"/>
  <c r="G173" i="1"/>
  <c r="A174" i="1"/>
  <c r="B174" i="1"/>
  <c r="C174" i="1"/>
  <c r="E174" i="1"/>
  <c r="F174" i="1"/>
  <c r="H174" i="1"/>
  <c r="G174" i="1"/>
  <c r="A175" i="1"/>
  <c r="B175" i="1"/>
  <c r="C175" i="1"/>
  <c r="E175" i="1"/>
  <c r="F175" i="1"/>
  <c r="H175" i="1"/>
  <c r="G175" i="1"/>
  <c r="A176" i="1"/>
  <c r="B176" i="1"/>
  <c r="C176" i="1"/>
  <c r="E176" i="1"/>
  <c r="F176" i="1"/>
  <c r="H176" i="1"/>
  <c r="G176" i="1"/>
  <c r="A177" i="1"/>
  <c r="B177" i="1"/>
  <c r="C177" i="1"/>
  <c r="E177" i="1"/>
  <c r="F177" i="1"/>
  <c r="H177" i="1"/>
  <c r="G177" i="1"/>
  <c r="A178" i="1"/>
  <c r="B178" i="1"/>
  <c r="C178" i="1"/>
  <c r="E178" i="1"/>
  <c r="F178" i="1"/>
  <c r="H178" i="1"/>
  <c r="G178" i="1"/>
  <c r="A179" i="1"/>
  <c r="B179" i="1"/>
  <c r="C179" i="1"/>
  <c r="E179" i="1"/>
  <c r="F179" i="1"/>
  <c r="H179" i="1"/>
  <c r="G179" i="1"/>
  <c r="A180" i="1"/>
  <c r="B180" i="1"/>
  <c r="C180" i="1"/>
  <c r="E180" i="1"/>
  <c r="F180" i="1"/>
  <c r="H180" i="1"/>
  <c r="G180" i="1"/>
  <c r="A181" i="1"/>
  <c r="B181" i="1"/>
  <c r="C181" i="1"/>
  <c r="E181" i="1"/>
  <c r="F181" i="1"/>
  <c r="H181" i="1"/>
  <c r="G181" i="1"/>
  <c r="A182" i="1"/>
  <c r="B182" i="1"/>
  <c r="C182" i="1"/>
  <c r="E182" i="1"/>
  <c r="F182" i="1"/>
  <c r="H182" i="1"/>
  <c r="G182" i="1"/>
  <c r="A183" i="1"/>
  <c r="B183" i="1"/>
  <c r="C183" i="1"/>
  <c r="E183" i="1"/>
  <c r="F183" i="1"/>
  <c r="H183" i="1"/>
  <c r="G183" i="1"/>
  <c r="A184" i="1"/>
  <c r="B184" i="1"/>
  <c r="C184" i="1"/>
  <c r="E184" i="1"/>
  <c r="F184" i="1"/>
  <c r="H184" i="1"/>
  <c r="G184" i="1"/>
  <c r="A185" i="1"/>
  <c r="B185" i="1"/>
  <c r="C185" i="1"/>
  <c r="E185" i="1"/>
  <c r="F185" i="1"/>
  <c r="H185" i="1"/>
  <c r="G185" i="1"/>
  <c r="A186" i="1"/>
  <c r="B186" i="1"/>
  <c r="C186" i="1"/>
  <c r="E186" i="1"/>
  <c r="F186" i="1"/>
  <c r="H186" i="1"/>
  <c r="G186" i="1"/>
  <c r="A187" i="1"/>
  <c r="B187" i="1"/>
  <c r="C187" i="1"/>
  <c r="E187" i="1"/>
  <c r="F187" i="1"/>
  <c r="H187" i="1"/>
  <c r="G187" i="1"/>
  <c r="A188" i="1"/>
  <c r="B188" i="1"/>
  <c r="C188" i="1"/>
  <c r="E188" i="1"/>
  <c r="F188" i="1"/>
  <c r="H188" i="1"/>
  <c r="G188" i="1"/>
  <c r="A189" i="1"/>
  <c r="B189" i="1"/>
  <c r="C189" i="1"/>
  <c r="E189" i="1"/>
  <c r="F189" i="1"/>
  <c r="H189" i="1"/>
  <c r="G189" i="1"/>
  <c r="A190" i="1"/>
  <c r="B190" i="1"/>
  <c r="C190" i="1"/>
  <c r="E190" i="1"/>
  <c r="F190" i="1"/>
  <c r="H190" i="1"/>
  <c r="G190" i="1"/>
  <c r="A191" i="1"/>
  <c r="B191" i="1"/>
  <c r="C191" i="1"/>
  <c r="E191" i="1"/>
  <c r="F191" i="1"/>
  <c r="H191" i="1"/>
  <c r="G191" i="1"/>
  <c r="A192" i="1"/>
  <c r="B192" i="1"/>
  <c r="C192" i="1"/>
  <c r="E192" i="1"/>
  <c r="F192" i="1"/>
  <c r="H192" i="1"/>
  <c r="G192" i="1"/>
  <c r="A193" i="1"/>
  <c r="B193" i="1"/>
  <c r="C193" i="1"/>
  <c r="E193" i="1"/>
  <c r="F193" i="1"/>
  <c r="H193" i="1"/>
  <c r="G193" i="1"/>
  <c r="A194" i="1"/>
  <c r="B194" i="1"/>
  <c r="C194" i="1"/>
  <c r="E194" i="1"/>
  <c r="F194" i="1"/>
  <c r="H194" i="1"/>
  <c r="G194" i="1"/>
  <c r="A195" i="1"/>
  <c r="B195" i="1"/>
  <c r="C195" i="1"/>
  <c r="E195" i="1"/>
  <c r="F195" i="1"/>
  <c r="H195" i="1"/>
  <c r="G195" i="1"/>
  <c r="A196" i="1"/>
  <c r="B196" i="1"/>
  <c r="C196" i="1"/>
  <c r="E196" i="1"/>
  <c r="F196" i="1"/>
  <c r="H196" i="1"/>
  <c r="G196" i="1"/>
  <c r="A197" i="1"/>
  <c r="B197" i="1"/>
  <c r="C197" i="1"/>
  <c r="E197" i="1"/>
  <c r="F197" i="1"/>
  <c r="H197" i="1"/>
  <c r="G197" i="1"/>
  <c r="A198" i="1"/>
  <c r="B198" i="1"/>
  <c r="C198" i="1"/>
  <c r="E198" i="1"/>
  <c r="F198" i="1"/>
  <c r="H198" i="1"/>
  <c r="G198" i="1"/>
  <c r="A199" i="1"/>
  <c r="B199" i="1"/>
  <c r="C199" i="1"/>
  <c r="E199" i="1"/>
  <c r="F199" i="1"/>
  <c r="H199" i="1"/>
  <c r="G199" i="1"/>
  <c r="A200" i="1"/>
  <c r="B200" i="1"/>
  <c r="C200" i="1"/>
  <c r="E200" i="1"/>
  <c r="F200" i="1"/>
  <c r="H200" i="1"/>
  <c r="G200" i="1"/>
  <c r="A201" i="1"/>
  <c r="B201" i="1"/>
  <c r="C201" i="1"/>
  <c r="E201" i="1"/>
  <c r="F201" i="1"/>
  <c r="H201" i="1"/>
  <c r="G201" i="1"/>
  <c r="A202" i="1"/>
  <c r="B202" i="1"/>
  <c r="C202" i="1"/>
  <c r="E202" i="1"/>
  <c r="F202" i="1"/>
  <c r="H202" i="1"/>
  <c r="G202" i="1"/>
  <c r="A203" i="1"/>
  <c r="B203" i="1"/>
  <c r="C203" i="1"/>
  <c r="E203" i="1"/>
  <c r="F203" i="1"/>
  <c r="H203" i="1"/>
  <c r="G203" i="1"/>
  <c r="A204" i="1"/>
  <c r="B204" i="1"/>
  <c r="C204" i="1"/>
  <c r="E204" i="1"/>
  <c r="F204" i="1"/>
  <c r="H204" i="1"/>
  <c r="G204" i="1"/>
  <c r="A205" i="1"/>
  <c r="B205" i="1"/>
  <c r="C205" i="1"/>
  <c r="E205" i="1"/>
  <c r="F205" i="1"/>
  <c r="H205" i="1"/>
  <c r="G205" i="1"/>
  <c r="A206" i="1"/>
  <c r="B206" i="1"/>
  <c r="C206" i="1"/>
  <c r="E206" i="1"/>
  <c r="F206" i="1"/>
  <c r="H206" i="1"/>
  <c r="G206" i="1"/>
  <c r="A207" i="1"/>
  <c r="B207" i="1"/>
  <c r="C207" i="1"/>
  <c r="E207" i="1"/>
  <c r="F207" i="1"/>
  <c r="H207" i="1"/>
  <c r="G207" i="1"/>
  <c r="A208" i="1"/>
  <c r="B208" i="1"/>
  <c r="C208" i="1"/>
  <c r="E208" i="1"/>
  <c r="F208" i="1"/>
  <c r="H208" i="1"/>
  <c r="G208" i="1"/>
  <c r="A209" i="1"/>
  <c r="B209" i="1"/>
  <c r="C209" i="1"/>
  <c r="E209" i="1"/>
  <c r="F209" i="1"/>
  <c r="H209" i="1"/>
  <c r="G209" i="1"/>
  <c r="A210" i="1"/>
  <c r="B210" i="1"/>
  <c r="C210" i="1"/>
  <c r="E210" i="1"/>
  <c r="F210" i="1"/>
  <c r="H210" i="1"/>
  <c r="G210" i="1"/>
  <c r="A211" i="1"/>
  <c r="B211" i="1"/>
  <c r="C211" i="1"/>
  <c r="E211" i="1"/>
  <c r="F211" i="1"/>
  <c r="H211" i="1"/>
  <c r="G211" i="1"/>
  <c r="A212" i="1"/>
  <c r="B212" i="1"/>
  <c r="C212" i="1"/>
  <c r="E212" i="1"/>
  <c r="F212" i="1"/>
  <c r="H212" i="1"/>
  <c r="G212" i="1"/>
  <c r="A213" i="1"/>
  <c r="B213" i="1"/>
  <c r="C213" i="1"/>
  <c r="E213" i="1"/>
  <c r="F213" i="1"/>
  <c r="H213" i="1"/>
  <c r="G213" i="1"/>
  <c r="A214" i="1"/>
  <c r="B214" i="1"/>
  <c r="C214" i="1"/>
  <c r="E214" i="1"/>
  <c r="F214" i="1"/>
  <c r="H214" i="1"/>
  <c r="G214" i="1"/>
  <c r="A215" i="1"/>
  <c r="B215" i="1"/>
  <c r="C215" i="1"/>
  <c r="E215" i="1"/>
  <c r="F215" i="1"/>
  <c r="H215" i="1"/>
  <c r="G215" i="1"/>
  <c r="A216" i="1"/>
  <c r="B216" i="1"/>
  <c r="C216" i="1"/>
  <c r="E216" i="1"/>
  <c r="F216" i="1"/>
  <c r="H216" i="1"/>
  <c r="G216" i="1"/>
  <c r="A217" i="1"/>
  <c r="B217" i="1"/>
  <c r="C217" i="1"/>
  <c r="E217" i="1"/>
  <c r="F217" i="1"/>
  <c r="H217" i="1"/>
  <c r="G217" i="1"/>
  <c r="A218" i="1"/>
  <c r="B218" i="1"/>
  <c r="C218" i="1"/>
  <c r="E218" i="1"/>
  <c r="F218" i="1"/>
  <c r="H218" i="1"/>
  <c r="G218" i="1"/>
  <c r="A219" i="1"/>
  <c r="B219" i="1"/>
  <c r="C219" i="1"/>
  <c r="E219" i="1"/>
  <c r="F219" i="1"/>
  <c r="H219" i="1"/>
  <c r="G219" i="1"/>
  <c r="A220" i="1"/>
  <c r="B220" i="1"/>
  <c r="C220" i="1"/>
  <c r="E220" i="1"/>
  <c r="F220" i="1"/>
  <c r="H220" i="1"/>
  <c r="G220" i="1"/>
  <c r="A221" i="1"/>
  <c r="B221" i="1"/>
  <c r="C221" i="1"/>
  <c r="E221" i="1"/>
  <c r="F221" i="1"/>
  <c r="H221" i="1"/>
  <c r="G221" i="1"/>
  <c r="A222" i="1"/>
  <c r="B222" i="1"/>
  <c r="C222" i="1"/>
  <c r="E222" i="1"/>
  <c r="F222" i="1"/>
  <c r="H222" i="1"/>
  <c r="G222" i="1"/>
  <c r="A223" i="1"/>
  <c r="B223" i="1"/>
  <c r="C223" i="1"/>
  <c r="E223" i="1"/>
  <c r="F223" i="1"/>
  <c r="H223" i="1"/>
  <c r="G223" i="1"/>
  <c r="A224" i="1"/>
  <c r="B224" i="1"/>
  <c r="C224" i="1"/>
  <c r="E224" i="1"/>
  <c r="F224" i="1"/>
  <c r="H224" i="1"/>
  <c r="G224" i="1"/>
  <c r="A225" i="1"/>
  <c r="B225" i="1"/>
  <c r="C225" i="1"/>
  <c r="E225" i="1"/>
  <c r="F225" i="1"/>
  <c r="H225" i="1"/>
  <c r="G225" i="1"/>
  <c r="A226" i="1"/>
  <c r="B226" i="1"/>
  <c r="C226" i="1"/>
  <c r="E226" i="1"/>
  <c r="F226" i="1"/>
  <c r="H226" i="1"/>
  <c r="G226" i="1"/>
  <c r="A227" i="1"/>
  <c r="B227" i="1"/>
  <c r="C227" i="1"/>
  <c r="E227" i="1"/>
  <c r="F227" i="1"/>
  <c r="H227" i="1"/>
  <c r="G227" i="1"/>
  <c r="A228" i="1"/>
  <c r="B228" i="1"/>
  <c r="C228" i="1"/>
  <c r="E228" i="1"/>
  <c r="F228" i="1"/>
  <c r="H228" i="1"/>
  <c r="G228" i="1"/>
  <c r="A229" i="1"/>
  <c r="B229" i="1"/>
  <c r="C229" i="1"/>
  <c r="E229" i="1"/>
  <c r="F229" i="1"/>
  <c r="H229" i="1"/>
  <c r="G229" i="1"/>
  <c r="A230" i="1"/>
  <c r="B230" i="1"/>
  <c r="C230" i="1"/>
  <c r="E230" i="1"/>
  <c r="F230" i="1"/>
  <c r="H230" i="1"/>
  <c r="G230" i="1"/>
  <c r="A231" i="1"/>
  <c r="B231" i="1"/>
  <c r="C231" i="1"/>
  <c r="E231" i="1"/>
  <c r="F231" i="1"/>
  <c r="H231" i="1"/>
  <c r="G231" i="1"/>
  <c r="A232" i="1"/>
  <c r="B232" i="1"/>
  <c r="C232" i="1"/>
  <c r="E232" i="1"/>
  <c r="F232" i="1"/>
  <c r="H232" i="1"/>
  <c r="G232" i="1"/>
  <c r="A233" i="1"/>
  <c r="B233" i="1"/>
  <c r="C233" i="1"/>
  <c r="E233" i="1"/>
  <c r="F233" i="1"/>
  <c r="H233" i="1"/>
  <c r="G233" i="1"/>
  <c r="A234" i="1"/>
  <c r="B234" i="1"/>
  <c r="C234" i="1"/>
  <c r="E234" i="1"/>
  <c r="F234" i="1"/>
  <c r="H234" i="1"/>
  <c r="G234" i="1"/>
  <c r="A235" i="1"/>
  <c r="B235" i="1"/>
  <c r="C235" i="1"/>
  <c r="E235" i="1"/>
  <c r="F235" i="1"/>
  <c r="H235" i="1"/>
  <c r="G235" i="1"/>
  <c r="A236" i="1"/>
  <c r="B236" i="1"/>
  <c r="C236" i="1"/>
  <c r="E236" i="1"/>
  <c r="F236" i="1"/>
  <c r="H236" i="1"/>
  <c r="G236" i="1"/>
  <c r="A237" i="1"/>
  <c r="B237" i="1"/>
  <c r="C237" i="1"/>
  <c r="E237" i="1"/>
  <c r="F237" i="1"/>
  <c r="H237" i="1"/>
  <c r="G237" i="1"/>
  <c r="A238" i="1"/>
  <c r="B238" i="1"/>
  <c r="C238" i="1"/>
  <c r="E238" i="1"/>
  <c r="F238" i="1"/>
  <c r="H238" i="1"/>
  <c r="G238" i="1"/>
  <c r="A239" i="1"/>
  <c r="B239" i="1"/>
  <c r="C239" i="1"/>
  <c r="E239" i="1"/>
  <c r="F239" i="1"/>
  <c r="H239" i="1"/>
  <c r="G239" i="1"/>
  <c r="A240" i="1"/>
  <c r="B240" i="1"/>
  <c r="C240" i="1"/>
  <c r="E240" i="1"/>
  <c r="F240" i="1"/>
  <c r="H240" i="1"/>
  <c r="G240" i="1"/>
  <c r="A241" i="1"/>
  <c r="B241" i="1"/>
  <c r="C241" i="1"/>
  <c r="E241" i="1"/>
  <c r="F241" i="1"/>
  <c r="H241" i="1"/>
  <c r="G241" i="1"/>
  <c r="A242" i="1"/>
  <c r="B242" i="1"/>
  <c r="C242" i="1"/>
  <c r="E242" i="1"/>
  <c r="F242" i="1"/>
  <c r="H242" i="1"/>
  <c r="G242" i="1"/>
  <c r="A243" i="1"/>
  <c r="B243" i="1"/>
  <c r="C243" i="1"/>
  <c r="E243" i="1"/>
  <c r="F243" i="1"/>
  <c r="H243" i="1"/>
  <c r="G243" i="1"/>
  <c r="A244" i="1"/>
  <c r="B244" i="1"/>
  <c r="C244" i="1"/>
  <c r="E244" i="1"/>
  <c r="F244" i="1"/>
  <c r="H244" i="1"/>
  <c r="G244" i="1"/>
  <c r="A245" i="1"/>
  <c r="B245" i="1"/>
  <c r="C245" i="1"/>
  <c r="E245" i="1"/>
  <c r="F245" i="1"/>
  <c r="H245" i="1"/>
  <c r="G245" i="1"/>
  <c r="A246" i="1"/>
  <c r="B246" i="1"/>
  <c r="C246" i="1"/>
  <c r="E246" i="1"/>
  <c r="F246" i="1"/>
  <c r="H246" i="1"/>
  <c r="G246" i="1"/>
  <c r="A247" i="1"/>
  <c r="B247" i="1"/>
  <c r="C247" i="1"/>
  <c r="E247" i="1"/>
  <c r="F247" i="1"/>
  <c r="H247" i="1"/>
  <c r="G247" i="1"/>
  <c r="A248" i="1"/>
  <c r="B248" i="1"/>
  <c r="C248" i="1"/>
  <c r="E248" i="1"/>
  <c r="F248" i="1"/>
  <c r="H248" i="1"/>
  <c r="G248" i="1"/>
  <c r="A249" i="1"/>
  <c r="B249" i="1"/>
  <c r="C249" i="1"/>
  <c r="E249" i="1"/>
  <c r="F249" i="1"/>
  <c r="H249" i="1"/>
  <c r="G249" i="1"/>
  <c r="A250" i="1"/>
  <c r="B250" i="1"/>
  <c r="C250" i="1"/>
  <c r="E250" i="1"/>
  <c r="F250" i="1"/>
  <c r="H250" i="1"/>
  <c r="G250" i="1"/>
  <c r="A251" i="1"/>
  <c r="B251" i="1"/>
  <c r="C251" i="1"/>
  <c r="E251" i="1"/>
  <c r="F251" i="1"/>
  <c r="H251" i="1"/>
  <c r="G251" i="1"/>
  <c r="A252" i="1"/>
  <c r="C252" i="1"/>
  <c r="E252" i="1"/>
  <c r="F252" i="1"/>
  <c r="H252" i="1"/>
  <c r="G252" i="1"/>
  <c r="A253" i="1"/>
  <c r="B253" i="1"/>
  <c r="C253" i="1"/>
  <c r="E253" i="1"/>
  <c r="F253" i="1"/>
  <c r="H253" i="1"/>
  <c r="G253" i="1"/>
  <c r="A254" i="1"/>
  <c r="B254" i="1"/>
  <c r="C254" i="1"/>
  <c r="E254" i="1"/>
  <c r="F254" i="1"/>
  <c r="H254" i="1"/>
  <c r="G254" i="1"/>
  <c r="A255" i="1"/>
  <c r="B255" i="1"/>
  <c r="C255" i="1"/>
  <c r="E255" i="1"/>
  <c r="F255" i="1"/>
  <c r="H255" i="1"/>
  <c r="G255" i="1"/>
  <c r="A256" i="1"/>
  <c r="B256" i="1"/>
  <c r="C256" i="1"/>
  <c r="E256" i="1"/>
  <c r="F256" i="1"/>
  <c r="H256" i="1"/>
  <c r="G256" i="1"/>
  <c r="A257" i="1"/>
  <c r="B257" i="1"/>
  <c r="C257" i="1"/>
  <c r="E257" i="1"/>
  <c r="F257" i="1"/>
  <c r="H257" i="1"/>
  <c r="G257" i="1"/>
  <c r="A258" i="1"/>
  <c r="B258" i="1"/>
  <c r="C258" i="1"/>
  <c r="E258" i="1"/>
  <c r="F258" i="1"/>
  <c r="H258" i="1"/>
  <c r="G258" i="1"/>
  <c r="A259" i="1"/>
  <c r="B259" i="1"/>
  <c r="C259" i="1"/>
  <c r="E259" i="1"/>
  <c r="F259" i="1"/>
  <c r="H259" i="1"/>
  <c r="G259" i="1"/>
  <c r="A260" i="1"/>
  <c r="B260" i="1"/>
  <c r="C260" i="1"/>
  <c r="E260" i="1"/>
  <c r="F260" i="1"/>
  <c r="H260" i="1"/>
  <c r="G260" i="1"/>
  <c r="A261" i="1"/>
  <c r="B261" i="1"/>
  <c r="C261" i="1"/>
  <c r="E261" i="1"/>
  <c r="F261" i="1"/>
  <c r="H261" i="1"/>
  <c r="G261" i="1"/>
  <c r="A262" i="1"/>
  <c r="B262" i="1"/>
  <c r="C262" i="1"/>
  <c r="E262" i="1"/>
  <c r="F262" i="1"/>
  <c r="H262" i="1"/>
  <c r="G262" i="1"/>
  <c r="A263" i="1"/>
  <c r="B263" i="1"/>
  <c r="C263" i="1"/>
  <c r="E263" i="1"/>
  <c r="F263" i="1"/>
  <c r="H263" i="1"/>
  <c r="G263" i="1"/>
  <c r="A264" i="1"/>
  <c r="B264" i="1"/>
  <c r="C264" i="1"/>
  <c r="E264" i="1"/>
  <c r="F264" i="1"/>
  <c r="H264" i="1"/>
  <c r="G264" i="1"/>
  <c r="A265" i="1"/>
  <c r="B265" i="1"/>
  <c r="C265" i="1"/>
  <c r="E265" i="1"/>
  <c r="F265" i="1"/>
  <c r="H265" i="1"/>
  <c r="G265" i="1"/>
  <c r="A266" i="1"/>
  <c r="B266" i="1"/>
  <c r="C266" i="1"/>
  <c r="E266" i="1"/>
  <c r="F266" i="1"/>
  <c r="H266" i="1"/>
  <c r="G266" i="1"/>
  <c r="A267" i="1"/>
  <c r="B267" i="1"/>
  <c r="C267" i="1"/>
  <c r="E267" i="1"/>
  <c r="H267" i="1"/>
  <c r="G267" i="1"/>
  <c r="A268" i="1"/>
  <c r="B268" i="1"/>
  <c r="C268" i="1"/>
  <c r="E268" i="1"/>
  <c r="F268" i="1"/>
  <c r="H268" i="1"/>
  <c r="G268" i="1"/>
  <c r="A269" i="1"/>
  <c r="B269" i="1"/>
  <c r="C269" i="1"/>
  <c r="E269" i="1"/>
  <c r="H269" i="1"/>
  <c r="G269" i="1"/>
  <c r="A270" i="1"/>
  <c r="B270" i="1"/>
  <c r="C270" i="1"/>
  <c r="E270" i="1"/>
  <c r="F270" i="1"/>
  <c r="H270" i="1"/>
  <c r="G270" i="1"/>
  <c r="A271" i="1"/>
  <c r="B271" i="1"/>
  <c r="C271" i="1"/>
  <c r="E271" i="1"/>
  <c r="F271" i="1"/>
  <c r="H271" i="1"/>
  <c r="G271" i="1"/>
  <c r="A272" i="1"/>
  <c r="B272" i="1"/>
  <c r="C272" i="1"/>
  <c r="E272" i="1"/>
  <c r="F272" i="1"/>
  <c r="H272" i="1"/>
  <c r="G272" i="1"/>
  <c r="A273" i="1"/>
  <c r="B273" i="1"/>
  <c r="C273" i="1"/>
  <c r="E273" i="1"/>
  <c r="F273" i="1"/>
  <c r="H273" i="1"/>
  <c r="G273" i="1"/>
  <c r="A274" i="1"/>
  <c r="B274" i="1"/>
  <c r="C274" i="1"/>
  <c r="E274" i="1"/>
  <c r="F274" i="1"/>
  <c r="H274" i="1"/>
  <c r="G274" i="1"/>
  <c r="A275" i="1"/>
  <c r="B275" i="1"/>
  <c r="C275" i="1"/>
  <c r="E275" i="1"/>
  <c r="F275" i="1"/>
  <c r="H275" i="1"/>
  <c r="G275" i="1"/>
  <c r="A276" i="1"/>
  <c r="B276" i="1"/>
  <c r="C276" i="1"/>
  <c r="E276" i="1"/>
  <c r="F276" i="1"/>
  <c r="H276" i="1"/>
  <c r="G276" i="1"/>
  <c r="A277" i="1"/>
  <c r="B277" i="1"/>
  <c r="C277" i="1"/>
  <c r="E277" i="1"/>
  <c r="F277" i="1"/>
  <c r="H277" i="1"/>
  <c r="G277" i="1"/>
  <c r="A278" i="1"/>
  <c r="B278" i="1"/>
  <c r="C278" i="1"/>
  <c r="E278" i="1"/>
  <c r="F278" i="1"/>
  <c r="H278" i="1"/>
  <c r="G278" i="1"/>
  <c r="A279" i="1"/>
  <c r="B279" i="1"/>
  <c r="E279" i="1"/>
  <c r="F279" i="1"/>
  <c r="H279" i="1"/>
  <c r="G279" i="1"/>
  <c r="A282" i="1"/>
  <c r="B282" i="1"/>
  <c r="C282" i="1"/>
  <c r="E282" i="1"/>
  <c r="F282" i="1"/>
  <c r="H282" i="1"/>
  <c r="G282" i="1"/>
  <c r="A283" i="1"/>
  <c r="B283" i="1"/>
  <c r="C283" i="1"/>
  <c r="E283" i="1"/>
  <c r="F283" i="1"/>
  <c r="H283" i="1"/>
  <c r="G283" i="1"/>
  <c r="A284" i="1"/>
  <c r="B284" i="1"/>
  <c r="C284" i="1"/>
  <c r="E284" i="1"/>
  <c r="F284" i="1"/>
  <c r="H284" i="1"/>
  <c r="G284" i="1"/>
  <c r="A285" i="1"/>
  <c r="B285" i="1"/>
  <c r="C285" i="1"/>
  <c r="E285" i="1"/>
  <c r="F285" i="1"/>
  <c r="H285" i="1"/>
  <c r="G285" i="1"/>
  <c r="A286" i="1"/>
  <c r="B286" i="1"/>
  <c r="C286" i="1"/>
  <c r="E286" i="1"/>
  <c r="F286" i="1"/>
  <c r="H286" i="1"/>
  <c r="G286" i="1"/>
  <c r="A287" i="1"/>
  <c r="B287" i="1"/>
  <c r="C287" i="1"/>
  <c r="E287" i="1"/>
  <c r="F287" i="1"/>
  <c r="H287" i="1"/>
  <c r="G287" i="1"/>
  <c r="A288" i="1"/>
  <c r="B288" i="1"/>
  <c r="C288" i="1"/>
  <c r="E288" i="1"/>
  <c r="F288" i="1"/>
  <c r="H288" i="1"/>
  <c r="G288" i="1"/>
  <c r="A289" i="1"/>
  <c r="B289" i="1"/>
  <c r="C289" i="1"/>
  <c r="E289" i="1"/>
  <c r="F289" i="1"/>
  <c r="H289" i="1"/>
  <c r="G289" i="1"/>
  <c r="A290" i="1"/>
  <c r="B290" i="1"/>
  <c r="C290" i="1"/>
  <c r="E290" i="1"/>
  <c r="F290" i="1"/>
  <c r="H290" i="1"/>
  <c r="G290" i="1"/>
  <c r="A291" i="1"/>
  <c r="B291" i="1"/>
  <c r="C291" i="1"/>
  <c r="E291" i="1"/>
  <c r="F291" i="1"/>
  <c r="H291" i="1"/>
  <c r="G291" i="1"/>
  <c r="A292" i="1"/>
  <c r="B292" i="1"/>
  <c r="C292" i="1"/>
  <c r="E292" i="1"/>
  <c r="F292" i="1"/>
  <c r="H292" i="1"/>
  <c r="G292" i="1"/>
  <c r="A293" i="1"/>
  <c r="B293" i="1"/>
  <c r="C293" i="1"/>
  <c r="E293" i="1"/>
  <c r="F293" i="1"/>
  <c r="H293" i="1"/>
  <c r="G293" i="1"/>
  <c r="A294" i="1"/>
  <c r="B294" i="1"/>
  <c r="C294" i="1"/>
  <c r="E294" i="1"/>
  <c r="F294" i="1"/>
  <c r="H294" i="1"/>
  <c r="G294" i="1"/>
  <c r="A295" i="1"/>
  <c r="B295" i="1"/>
  <c r="C295" i="1"/>
  <c r="E295" i="1"/>
  <c r="F295" i="1"/>
  <c r="H295" i="1"/>
  <c r="G295" i="1"/>
  <c r="A296" i="1"/>
  <c r="B296" i="1"/>
  <c r="C296" i="1"/>
  <c r="E296" i="1"/>
  <c r="F296" i="1"/>
  <c r="H296" i="1"/>
  <c r="G296" i="1"/>
  <c r="A297" i="1"/>
  <c r="B297" i="1"/>
  <c r="C297" i="1"/>
  <c r="E297" i="1"/>
  <c r="F297" i="1"/>
  <c r="H297" i="1"/>
  <c r="G297" i="1"/>
  <c r="A298" i="1"/>
  <c r="B298" i="1"/>
  <c r="C298" i="1"/>
  <c r="E298" i="1"/>
  <c r="F298" i="1"/>
  <c r="H298" i="1"/>
  <c r="G298" i="1"/>
  <c r="A299" i="1"/>
  <c r="B299" i="1"/>
  <c r="C299" i="1"/>
  <c r="E299" i="1"/>
  <c r="F299" i="1"/>
  <c r="H299" i="1"/>
  <c r="G299" i="1"/>
  <c r="A300" i="1"/>
  <c r="B300" i="1"/>
  <c r="C300" i="1"/>
  <c r="E300" i="1"/>
  <c r="F300" i="1"/>
  <c r="H300" i="1"/>
  <c r="G300" i="1"/>
  <c r="A301" i="1"/>
  <c r="B301" i="1"/>
  <c r="C301" i="1"/>
  <c r="E301" i="1"/>
  <c r="F301" i="1"/>
  <c r="H301" i="1"/>
  <c r="G301" i="1"/>
  <c r="A302" i="1"/>
  <c r="B302" i="1"/>
  <c r="C302" i="1"/>
  <c r="E302" i="1"/>
  <c r="F302" i="1"/>
  <c r="H302" i="1"/>
  <c r="G302" i="1"/>
  <c r="A303" i="1"/>
  <c r="B303" i="1"/>
  <c r="C303" i="1"/>
  <c r="E303" i="1"/>
  <c r="F303" i="1"/>
  <c r="H303" i="1"/>
  <c r="G303" i="1"/>
  <c r="A304" i="1"/>
  <c r="B304" i="1"/>
  <c r="C304" i="1"/>
  <c r="E304" i="1"/>
  <c r="F304" i="1"/>
  <c r="H304" i="1"/>
  <c r="G304" i="1"/>
  <c r="A305" i="1"/>
  <c r="B305" i="1"/>
  <c r="C305" i="1"/>
  <c r="E305" i="1"/>
  <c r="F305" i="1"/>
  <c r="H305" i="1"/>
  <c r="G305" i="1"/>
  <c r="A306" i="1"/>
  <c r="B306" i="1"/>
  <c r="C306" i="1"/>
  <c r="E306" i="1"/>
  <c r="F306" i="1"/>
  <c r="H306" i="1"/>
  <c r="G306" i="1"/>
  <c r="A307" i="1"/>
  <c r="B307" i="1"/>
  <c r="C307" i="1"/>
  <c r="E307" i="1"/>
  <c r="F307" i="1"/>
  <c r="H307" i="1"/>
  <c r="G307" i="1"/>
  <c r="A308" i="1"/>
  <c r="B308" i="1"/>
  <c r="C308" i="1"/>
  <c r="E308" i="1"/>
  <c r="F308" i="1"/>
  <c r="H308" i="1"/>
  <c r="G308" i="1"/>
  <c r="A309" i="1"/>
  <c r="B309" i="1"/>
  <c r="C309" i="1"/>
  <c r="E309" i="1"/>
  <c r="F309" i="1"/>
  <c r="H309" i="1"/>
  <c r="G309" i="1"/>
  <c r="A310" i="1"/>
  <c r="B310" i="1"/>
  <c r="C310" i="1"/>
  <c r="E310" i="1"/>
  <c r="F310" i="1"/>
  <c r="H310" i="1"/>
  <c r="G310" i="1"/>
  <c r="A311" i="1"/>
  <c r="B311" i="1"/>
  <c r="C311" i="1"/>
  <c r="E311" i="1"/>
  <c r="F311" i="1"/>
  <c r="H311" i="1"/>
  <c r="G311" i="1"/>
  <c r="A312" i="1"/>
  <c r="B312" i="1"/>
  <c r="C312" i="1"/>
  <c r="E312" i="1"/>
  <c r="F312" i="1"/>
  <c r="H312" i="1"/>
  <c r="G312" i="1"/>
  <c r="A313" i="1"/>
  <c r="B313" i="1"/>
  <c r="C313" i="1"/>
  <c r="E313" i="1"/>
  <c r="F313" i="1"/>
  <c r="H313" i="1"/>
  <c r="G313" i="1"/>
  <c r="A314" i="1"/>
  <c r="B314" i="1"/>
  <c r="C314" i="1"/>
  <c r="E314" i="1"/>
  <c r="F314" i="1"/>
  <c r="H314" i="1"/>
  <c r="G314" i="1"/>
  <c r="A315" i="1"/>
  <c r="B315" i="1"/>
  <c r="C315" i="1"/>
  <c r="E315" i="1"/>
  <c r="F315" i="1"/>
  <c r="H315" i="1"/>
  <c r="G315" i="1"/>
  <c r="A316" i="1"/>
  <c r="B316" i="1"/>
  <c r="C316" i="1"/>
  <c r="E316" i="1"/>
  <c r="F316" i="1"/>
  <c r="H316" i="1"/>
  <c r="G316" i="1"/>
  <c r="A280" i="1"/>
  <c r="B280" i="1"/>
  <c r="C280" i="1"/>
  <c r="F280" i="1"/>
  <c r="H280" i="1"/>
  <c r="G280" i="1"/>
  <c r="A317" i="1"/>
  <c r="B317" i="1"/>
  <c r="C317" i="1"/>
  <c r="E317" i="1"/>
  <c r="F317" i="1"/>
  <c r="H317" i="1"/>
  <c r="G317" i="1"/>
  <c r="A318" i="1"/>
  <c r="B318" i="1"/>
  <c r="C318" i="1"/>
  <c r="E318" i="1"/>
  <c r="F318" i="1"/>
  <c r="H318" i="1"/>
  <c r="G318" i="1"/>
  <c r="A319" i="1"/>
  <c r="B319" i="1"/>
  <c r="C319" i="1"/>
  <c r="E319" i="1"/>
  <c r="F319" i="1"/>
  <c r="H319" i="1"/>
  <c r="G319" i="1"/>
  <c r="A320" i="1"/>
  <c r="B320" i="1"/>
  <c r="C320" i="1"/>
  <c r="E320" i="1"/>
  <c r="F320" i="1"/>
  <c r="H320" i="1"/>
  <c r="G320" i="1"/>
  <c r="A281" i="1"/>
  <c r="C281" i="1"/>
  <c r="E281" i="1"/>
  <c r="F281" i="1"/>
  <c r="H281" i="1"/>
  <c r="G281" i="1"/>
  <c r="A321" i="1"/>
  <c r="B321" i="1"/>
  <c r="C321" i="1"/>
  <c r="E321" i="1"/>
  <c r="F321" i="1"/>
  <c r="H321" i="1"/>
  <c r="G321" i="1"/>
  <c r="A322" i="1"/>
  <c r="B322" i="1"/>
  <c r="C322" i="1"/>
  <c r="E322" i="1"/>
  <c r="F322" i="1"/>
  <c r="H322" i="1"/>
  <c r="G322" i="1"/>
  <c r="A323" i="1"/>
  <c r="B323" i="1"/>
  <c r="C323" i="1"/>
  <c r="E323" i="1"/>
  <c r="F323" i="1"/>
  <c r="H323" i="1"/>
  <c r="G323" i="1"/>
  <c r="A324" i="1"/>
  <c r="B324" i="1"/>
  <c r="C324" i="1"/>
  <c r="E324" i="1"/>
  <c r="F324" i="1"/>
  <c r="H324" i="1"/>
  <c r="G324" i="1"/>
  <c r="A325" i="1"/>
  <c r="B325" i="1"/>
  <c r="C325" i="1"/>
  <c r="E325" i="1"/>
  <c r="F325" i="1"/>
  <c r="H325" i="1"/>
  <c r="G325" i="1"/>
  <c r="A326" i="1"/>
  <c r="B326" i="1"/>
  <c r="C326" i="1"/>
  <c r="E326" i="1"/>
  <c r="F326" i="1"/>
  <c r="H326" i="1"/>
  <c r="G326" i="1"/>
  <c r="A327" i="1"/>
  <c r="B327" i="1"/>
  <c r="C327" i="1"/>
  <c r="E327" i="1"/>
  <c r="F327" i="1"/>
  <c r="H327" i="1"/>
  <c r="G327" i="1"/>
  <c r="A328" i="1"/>
  <c r="B328" i="1"/>
  <c r="C328" i="1"/>
  <c r="E328" i="1"/>
  <c r="F328" i="1"/>
  <c r="H328" i="1"/>
  <c r="G328" i="1"/>
  <c r="A329" i="1"/>
  <c r="B329" i="1"/>
  <c r="C329" i="1"/>
  <c r="E329" i="1"/>
  <c r="F329" i="1"/>
  <c r="H329" i="1"/>
  <c r="G329" i="1"/>
  <c r="A330" i="1"/>
  <c r="B330" i="1"/>
  <c r="C330" i="1"/>
  <c r="E330" i="1"/>
  <c r="F330" i="1"/>
  <c r="H330" i="1"/>
  <c r="G330" i="1"/>
  <c r="A331" i="1"/>
  <c r="B331" i="1"/>
  <c r="C331" i="1"/>
  <c r="E331" i="1"/>
  <c r="F331" i="1"/>
  <c r="H331" i="1"/>
  <c r="G331" i="1"/>
  <c r="A332" i="1"/>
  <c r="B332" i="1"/>
  <c r="C332" i="1"/>
  <c r="E332" i="1"/>
  <c r="F332" i="1"/>
  <c r="H332" i="1"/>
  <c r="G332" i="1"/>
  <c r="A333" i="1"/>
  <c r="B333" i="1"/>
  <c r="C333" i="1"/>
  <c r="E333" i="1"/>
  <c r="F333" i="1"/>
  <c r="H333" i="1"/>
  <c r="G333" i="1"/>
  <c r="A334" i="1"/>
  <c r="B334" i="1"/>
  <c r="C334" i="1"/>
  <c r="E334" i="1"/>
  <c r="F334" i="1"/>
  <c r="H334" i="1"/>
  <c r="G334" i="1"/>
  <c r="A335" i="1"/>
  <c r="B335" i="1"/>
  <c r="C335" i="1"/>
  <c r="E335" i="1"/>
  <c r="F335" i="1"/>
  <c r="H335" i="1"/>
  <c r="G335" i="1"/>
  <c r="A336" i="1"/>
  <c r="B336" i="1"/>
  <c r="C336" i="1"/>
  <c r="E336" i="1"/>
  <c r="F336" i="1"/>
  <c r="H336" i="1"/>
  <c r="G336" i="1"/>
  <c r="A337" i="1"/>
  <c r="B337" i="1"/>
  <c r="C337" i="1"/>
  <c r="E337" i="1"/>
  <c r="F337" i="1"/>
  <c r="H337" i="1"/>
  <c r="G337" i="1"/>
  <c r="A338" i="1"/>
  <c r="B338" i="1"/>
  <c r="C338" i="1"/>
  <c r="E338" i="1"/>
  <c r="F338" i="1"/>
  <c r="H338" i="1"/>
  <c r="G338" i="1"/>
  <c r="A339" i="1"/>
  <c r="B339" i="1"/>
  <c r="C339" i="1"/>
  <c r="E339" i="1"/>
  <c r="F339" i="1"/>
  <c r="H339" i="1"/>
  <c r="G339" i="1"/>
  <c r="A340" i="1"/>
  <c r="B340" i="1"/>
  <c r="C340" i="1"/>
  <c r="E340" i="1"/>
  <c r="F340" i="1"/>
  <c r="H340" i="1"/>
  <c r="G340" i="1"/>
  <c r="A341" i="1"/>
  <c r="B341" i="1"/>
  <c r="C341" i="1"/>
  <c r="E341" i="1"/>
  <c r="F341" i="1"/>
  <c r="H341" i="1"/>
  <c r="G341" i="1"/>
  <c r="A342" i="1"/>
  <c r="B342" i="1"/>
  <c r="C342" i="1"/>
  <c r="E342" i="1"/>
  <c r="F342" i="1"/>
  <c r="H342" i="1"/>
  <c r="G342" i="1"/>
  <c r="A343" i="1"/>
  <c r="B343" i="1"/>
  <c r="C343" i="1"/>
  <c r="E343" i="1"/>
  <c r="F343" i="1"/>
  <c r="H343" i="1"/>
  <c r="G343" i="1"/>
  <c r="A344" i="1"/>
  <c r="B344" i="1"/>
  <c r="C344" i="1"/>
  <c r="E344" i="1"/>
  <c r="F344" i="1"/>
  <c r="H344" i="1"/>
  <c r="G344" i="1"/>
  <c r="A345" i="1"/>
  <c r="B345" i="1"/>
  <c r="C345" i="1"/>
  <c r="E345" i="1"/>
  <c r="F345" i="1"/>
  <c r="H345" i="1"/>
  <c r="G345" i="1"/>
  <c r="A346" i="1"/>
  <c r="B346" i="1"/>
  <c r="C346" i="1"/>
  <c r="E346" i="1"/>
  <c r="F346" i="1"/>
  <c r="H346" i="1"/>
  <c r="G346" i="1"/>
  <c r="A347" i="1"/>
  <c r="B347" i="1"/>
  <c r="C347" i="1"/>
  <c r="E347" i="1"/>
  <c r="F347" i="1"/>
  <c r="H347" i="1"/>
  <c r="G347" i="1"/>
  <c r="A348" i="1"/>
  <c r="B348" i="1"/>
  <c r="C348" i="1"/>
  <c r="E348" i="1"/>
  <c r="F348" i="1"/>
  <c r="H348" i="1"/>
  <c r="G348" i="1"/>
  <c r="A349" i="1"/>
  <c r="B349" i="1"/>
  <c r="C349" i="1"/>
  <c r="E349" i="1"/>
  <c r="F349" i="1"/>
  <c r="H349" i="1"/>
  <c r="G349" i="1"/>
  <c r="A350" i="1"/>
  <c r="B350" i="1"/>
  <c r="C350" i="1"/>
  <c r="E350" i="1"/>
  <c r="F350" i="1"/>
  <c r="H350" i="1"/>
  <c r="G350" i="1"/>
  <c r="A351" i="1"/>
  <c r="B351" i="1"/>
  <c r="C351" i="1"/>
  <c r="E351" i="1"/>
  <c r="F351" i="1"/>
  <c r="H351" i="1"/>
  <c r="G351" i="1"/>
  <c r="A352" i="1"/>
  <c r="B352" i="1"/>
  <c r="C352" i="1"/>
  <c r="E352" i="1"/>
  <c r="F352" i="1"/>
  <c r="H352" i="1"/>
  <c r="G352" i="1"/>
  <c r="A353" i="1"/>
  <c r="B353" i="1"/>
  <c r="C353" i="1"/>
  <c r="E353" i="1"/>
  <c r="F353" i="1"/>
  <c r="H353" i="1"/>
  <c r="G353" i="1"/>
  <c r="A354" i="1"/>
  <c r="B354" i="1"/>
  <c r="C354" i="1"/>
  <c r="E354" i="1"/>
  <c r="F354" i="1"/>
  <c r="H354" i="1"/>
  <c r="G354" i="1"/>
  <c r="A355" i="1"/>
  <c r="B355" i="1"/>
  <c r="C355" i="1"/>
  <c r="E355" i="1"/>
  <c r="F355" i="1"/>
  <c r="H355" i="1"/>
  <c r="G355" i="1"/>
  <c r="A356" i="1"/>
  <c r="B356" i="1"/>
  <c r="C356" i="1"/>
  <c r="E356" i="1"/>
  <c r="F356" i="1"/>
  <c r="H356" i="1"/>
  <c r="G356" i="1"/>
  <c r="A357" i="1"/>
  <c r="B357" i="1"/>
  <c r="C357" i="1"/>
  <c r="E357" i="1"/>
  <c r="F357" i="1"/>
  <c r="H357" i="1"/>
  <c r="G357" i="1"/>
  <c r="A358" i="1"/>
  <c r="B358" i="1"/>
  <c r="C358" i="1"/>
  <c r="E358" i="1"/>
  <c r="F358" i="1"/>
  <c r="H358" i="1"/>
  <c r="G358" i="1"/>
  <c r="A359" i="1"/>
  <c r="B359" i="1"/>
  <c r="C359" i="1"/>
  <c r="E359" i="1"/>
  <c r="F359" i="1"/>
  <c r="H359" i="1"/>
  <c r="G359" i="1"/>
  <c r="A360" i="1"/>
  <c r="B360" i="1"/>
  <c r="C360" i="1"/>
  <c r="E360" i="1"/>
  <c r="F360" i="1"/>
  <c r="H360" i="1"/>
  <c r="G360" i="1"/>
  <c r="A361" i="1"/>
  <c r="B361" i="1"/>
  <c r="C361" i="1"/>
  <c r="E361" i="1"/>
  <c r="F361" i="1"/>
  <c r="H361" i="1"/>
  <c r="G361" i="1"/>
  <c r="A362" i="1"/>
  <c r="B362" i="1"/>
  <c r="C362" i="1"/>
  <c r="E362" i="1"/>
  <c r="F362" i="1"/>
  <c r="H362" i="1"/>
  <c r="G362" i="1"/>
  <c r="A363" i="1"/>
  <c r="B363" i="1"/>
  <c r="C363" i="1"/>
  <c r="E363" i="1"/>
  <c r="F363" i="1"/>
  <c r="H363" i="1"/>
  <c r="G363" i="1"/>
  <c r="A364" i="1"/>
  <c r="B364" i="1"/>
  <c r="C364" i="1"/>
  <c r="E364" i="1"/>
  <c r="F364" i="1"/>
  <c r="H364" i="1"/>
  <c r="G364" i="1"/>
  <c r="A365" i="1"/>
  <c r="B365" i="1"/>
  <c r="C365" i="1"/>
  <c r="E365" i="1"/>
  <c r="F365" i="1"/>
  <c r="H365" i="1"/>
  <c r="G365" i="1"/>
  <c r="A366" i="1"/>
  <c r="B366" i="1"/>
  <c r="C366" i="1"/>
  <c r="E366" i="1"/>
  <c r="F366" i="1"/>
  <c r="H366" i="1"/>
  <c r="G366" i="1"/>
  <c r="A367" i="1"/>
  <c r="B367" i="1"/>
  <c r="C367" i="1"/>
  <c r="E367" i="1"/>
  <c r="F367" i="1"/>
  <c r="H367" i="1"/>
  <c r="G367" i="1"/>
  <c r="A368" i="1"/>
  <c r="B368" i="1"/>
  <c r="C368" i="1"/>
  <c r="E368" i="1"/>
  <c r="F368" i="1"/>
  <c r="H368" i="1"/>
  <c r="G368" i="1"/>
  <c r="A369" i="1"/>
  <c r="B369" i="1"/>
  <c r="C369" i="1"/>
  <c r="E369" i="1"/>
  <c r="F369" i="1"/>
  <c r="H369" i="1"/>
  <c r="G369" i="1"/>
  <c r="A370" i="1"/>
  <c r="B370" i="1"/>
  <c r="C370" i="1"/>
  <c r="E370" i="1"/>
  <c r="F370" i="1"/>
  <c r="H370" i="1"/>
  <c r="G370" i="1"/>
  <c r="A371" i="1"/>
  <c r="B371" i="1"/>
  <c r="C371" i="1"/>
  <c r="E371" i="1"/>
  <c r="F371" i="1"/>
  <c r="H371" i="1"/>
  <c r="G371" i="1"/>
  <c r="A372" i="1"/>
  <c r="B372" i="1"/>
  <c r="C372" i="1"/>
  <c r="E372" i="1"/>
  <c r="F372" i="1"/>
  <c r="H372" i="1"/>
  <c r="G372" i="1"/>
  <c r="A373" i="1"/>
  <c r="B373" i="1"/>
  <c r="C373" i="1"/>
  <c r="E373" i="1"/>
  <c r="F373" i="1"/>
  <c r="H373" i="1"/>
  <c r="G373" i="1"/>
  <c r="A374" i="1"/>
  <c r="B374" i="1"/>
  <c r="C374" i="1"/>
  <c r="E374" i="1"/>
  <c r="F374" i="1"/>
  <c r="H374" i="1"/>
  <c r="G374" i="1"/>
  <c r="A375" i="1"/>
  <c r="B375" i="1"/>
  <c r="C375" i="1"/>
  <c r="E375" i="1"/>
  <c r="F375" i="1"/>
  <c r="H375" i="1"/>
  <c r="G375" i="1"/>
  <c r="A376" i="1"/>
  <c r="B376" i="1"/>
  <c r="C376" i="1"/>
  <c r="E376" i="1"/>
  <c r="F376" i="1"/>
  <c r="H376" i="1"/>
  <c r="G376" i="1"/>
  <c r="A377" i="1"/>
  <c r="B377" i="1"/>
  <c r="C377" i="1"/>
  <c r="E377" i="1"/>
  <c r="F377" i="1"/>
  <c r="H377" i="1"/>
  <c r="G377" i="1"/>
  <c r="A378" i="1"/>
  <c r="B378" i="1"/>
  <c r="C378" i="1"/>
  <c r="E378" i="1"/>
  <c r="F378" i="1"/>
  <c r="H378" i="1"/>
  <c r="G378" i="1"/>
  <c r="A379" i="1"/>
  <c r="B379" i="1"/>
  <c r="C379" i="1"/>
  <c r="E379" i="1"/>
  <c r="F379" i="1"/>
  <c r="H379" i="1"/>
  <c r="G379" i="1"/>
  <c r="A380" i="1"/>
  <c r="B380" i="1"/>
  <c r="C380" i="1"/>
  <c r="E380" i="1"/>
  <c r="F380" i="1"/>
  <c r="H380" i="1"/>
  <c r="G380" i="1"/>
  <c r="A381" i="1"/>
  <c r="B381" i="1"/>
  <c r="C381" i="1"/>
  <c r="E381" i="1"/>
  <c r="F381" i="1"/>
  <c r="H381" i="1"/>
  <c r="G381" i="1"/>
  <c r="A382" i="1"/>
  <c r="B382" i="1"/>
  <c r="C382" i="1"/>
  <c r="E382" i="1"/>
  <c r="F382" i="1"/>
  <c r="H382" i="1"/>
  <c r="G382" i="1"/>
  <c r="A383" i="1"/>
  <c r="B383" i="1"/>
  <c r="C383" i="1"/>
  <c r="E383" i="1"/>
  <c r="F383" i="1"/>
  <c r="H383" i="1"/>
  <c r="G383" i="1"/>
  <c r="A384" i="1"/>
  <c r="B384" i="1"/>
  <c r="C384" i="1"/>
  <c r="E384" i="1"/>
  <c r="F384" i="1"/>
  <c r="H384" i="1"/>
  <c r="G384" i="1"/>
  <c r="A385" i="1"/>
  <c r="B385" i="1"/>
  <c r="C385" i="1"/>
  <c r="E385" i="1"/>
  <c r="F385" i="1"/>
  <c r="H385" i="1"/>
  <c r="G385" i="1"/>
  <c r="A386" i="1"/>
  <c r="B386" i="1"/>
  <c r="C386" i="1"/>
  <c r="E386" i="1"/>
  <c r="F386" i="1"/>
  <c r="H386" i="1"/>
  <c r="G386" i="1"/>
  <c r="A387" i="1"/>
  <c r="B387" i="1"/>
  <c r="C387" i="1"/>
  <c r="E387" i="1"/>
  <c r="F387" i="1"/>
  <c r="H387" i="1"/>
  <c r="G387" i="1"/>
  <c r="A388" i="1"/>
  <c r="B388" i="1"/>
  <c r="C388" i="1"/>
  <c r="E388" i="1"/>
  <c r="F388" i="1"/>
  <c r="H388" i="1"/>
  <c r="G388" i="1"/>
  <c r="A389" i="1"/>
  <c r="B389" i="1"/>
  <c r="C389" i="1"/>
  <c r="E389" i="1"/>
  <c r="F389" i="1"/>
  <c r="H389" i="1"/>
  <c r="G389" i="1"/>
  <c r="A390" i="1"/>
  <c r="B390" i="1"/>
  <c r="C390" i="1"/>
  <c r="E390" i="1"/>
  <c r="F390" i="1"/>
  <c r="H390" i="1"/>
  <c r="G390" i="1"/>
  <c r="A391" i="1"/>
  <c r="B391" i="1"/>
  <c r="C391" i="1"/>
  <c r="E391" i="1"/>
  <c r="F391" i="1"/>
  <c r="H391" i="1"/>
  <c r="G391" i="1"/>
  <c r="A392" i="1"/>
  <c r="B392" i="1"/>
  <c r="C392" i="1"/>
  <c r="E392" i="1"/>
  <c r="F392" i="1"/>
  <c r="H392" i="1"/>
  <c r="G392" i="1"/>
  <c r="A393" i="1"/>
  <c r="B393" i="1"/>
  <c r="C393" i="1"/>
  <c r="E393" i="1"/>
  <c r="F393" i="1"/>
  <c r="H393" i="1"/>
  <c r="G393" i="1"/>
  <c r="A394" i="1"/>
  <c r="B394" i="1"/>
  <c r="C394" i="1"/>
  <c r="E394" i="1"/>
  <c r="F394" i="1"/>
  <c r="H394" i="1"/>
  <c r="G394" i="1"/>
  <c r="A395" i="1"/>
  <c r="B395" i="1"/>
  <c r="C395" i="1"/>
  <c r="E395" i="1"/>
  <c r="F395" i="1"/>
  <c r="H395" i="1"/>
  <c r="G395" i="1"/>
  <c r="A396" i="1"/>
  <c r="B396" i="1"/>
  <c r="C396" i="1"/>
  <c r="E396" i="1"/>
  <c r="F396" i="1"/>
  <c r="H396" i="1"/>
  <c r="G396" i="1"/>
  <c r="A397" i="1"/>
  <c r="B397" i="1"/>
  <c r="C397" i="1"/>
  <c r="E397" i="1"/>
  <c r="F397" i="1"/>
  <c r="H397" i="1"/>
  <c r="G397" i="1"/>
  <c r="A398" i="1"/>
  <c r="B398" i="1"/>
  <c r="C398" i="1"/>
  <c r="E398" i="1"/>
  <c r="F398" i="1"/>
  <c r="H398" i="1"/>
  <c r="G398" i="1"/>
  <c r="A399" i="1"/>
  <c r="B399" i="1"/>
  <c r="C399" i="1"/>
  <c r="E399" i="1"/>
  <c r="F399" i="1"/>
  <c r="H399" i="1"/>
  <c r="G399" i="1"/>
  <c r="A400" i="1"/>
  <c r="B400" i="1"/>
  <c r="C400" i="1"/>
  <c r="E400" i="1"/>
  <c r="F400" i="1"/>
  <c r="H400" i="1"/>
  <c r="G400" i="1"/>
  <c r="A401" i="1"/>
  <c r="B401" i="1"/>
  <c r="C401" i="1"/>
  <c r="E401" i="1"/>
  <c r="F401" i="1"/>
  <c r="H401" i="1"/>
  <c r="G401" i="1"/>
  <c r="A402" i="1"/>
  <c r="B402" i="1"/>
  <c r="C402" i="1"/>
  <c r="E402" i="1"/>
  <c r="F402" i="1"/>
  <c r="H402" i="1"/>
  <c r="G402" i="1"/>
  <c r="A403" i="1"/>
  <c r="B403" i="1"/>
  <c r="C403" i="1"/>
  <c r="E403" i="1"/>
  <c r="F403" i="1"/>
  <c r="H403" i="1"/>
  <c r="G403" i="1"/>
  <c r="A404" i="1"/>
  <c r="B404" i="1"/>
  <c r="C404" i="1"/>
  <c r="E404" i="1"/>
  <c r="F404" i="1"/>
  <c r="H404" i="1"/>
  <c r="G404" i="1"/>
  <c r="A405" i="1"/>
  <c r="B405" i="1"/>
  <c r="C405" i="1"/>
  <c r="E405" i="1"/>
  <c r="F405" i="1"/>
  <c r="H405" i="1"/>
  <c r="G405" i="1"/>
  <c r="A406" i="1"/>
  <c r="B406" i="1"/>
  <c r="C406" i="1"/>
  <c r="E406" i="1"/>
  <c r="F406" i="1"/>
  <c r="H406" i="1"/>
  <c r="G406" i="1"/>
  <c r="A407" i="1"/>
  <c r="B407" i="1"/>
  <c r="C407" i="1"/>
  <c r="E407" i="1"/>
  <c r="F407" i="1"/>
  <c r="H407" i="1"/>
  <c r="G407" i="1"/>
  <c r="A408" i="1"/>
  <c r="B408" i="1"/>
  <c r="C408" i="1"/>
  <c r="E408" i="1"/>
  <c r="F408" i="1"/>
  <c r="H408" i="1"/>
  <c r="G408" i="1"/>
  <c r="A409" i="1"/>
  <c r="B409" i="1"/>
  <c r="C409" i="1"/>
  <c r="E409" i="1"/>
  <c r="F409" i="1"/>
  <c r="H409" i="1"/>
  <c r="G409" i="1"/>
  <c r="A410" i="1"/>
  <c r="B410" i="1"/>
  <c r="C410" i="1"/>
  <c r="E410" i="1"/>
  <c r="F410" i="1"/>
  <c r="H410" i="1"/>
  <c r="G410" i="1"/>
  <c r="A411" i="1"/>
  <c r="B411" i="1"/>
  <c r="C411" i="1"/>
  <c r="E411" i="1"/>
  <c r="F411" i="1"/>
  <c r="H411" i="1"/>
  <c r="G411" i="1"/>
  <c r="A412" i="1"/>
  <c r="B412" i="1"/>
  <c r="C412" i="1"/>
  <c r="E412" i="1"/>
  <c r="F412" i="1"/>
  <c r="H412" i="1"/>
  <c r="G412" i="1"/>
  <c r="A413" i="1"/>
  <c r="B413" i="1"/>
  <c r="C413" i="1"/>
  <c r="E413" i="1"/>
  <c r="F413" i="1"/>
  <c r="H413" i="1"/>
  <c r="G413" i="1"/>
  <c r="A414" i="1"/>
  <c r="B414" i="1"/>
  <c r="C414" i="1"/>
  <c r="E414" i="1"/>
  <c r="F414" i="1"/>
  <c r="H414" i="1"/>
  <c r="G414" i="1"/>
  <c r="A415" i="1"/>
  <c r="B415" i="1"/>
  <c r="C415" i="1"/>
  <c r="E415" i="1"/>
  <c r="F415" i="1"/>
  <c r="H415" i="1"/>
  <c r="G415" i="1"/>
  <c r="A416" i="1"/>
  <c r="B416" i="1"/>
  <c r="C416" i="1"/>
  <c r="E416" i="1"/>
  <c r="F416" i="1"/>
  <c r="H416" i="1"/>
  <c r="G416" i="1"/>
  <c r="A417" i="1"/>
  <c r="B417" i="1"/>
  <c r="C417" i="1"/>
  <c r="E417" i="1"/>
  <c r="F417" i="1"/>
  <c r="H417" i="1"/>
  <c r="G417" i="1"/>
  <c r="A418" i="1"/>
  <c r="B418" i="1"/>
  <c r="C418" i="1"/>
  <c r="E418" i="1"/>
  <c r="F418" i="1"/>
  <c r="H418" i="1"/>
  <c r="G418" i="1"/>
  <c r="A419" i="1"/>
  <c r="B419" i="1"/>
  <c r="C419" i="1"/>
  <c r="E419" i="1"/>
  <c r="F419" i="1"/>
  <c r="H419" i="1"/>
  <c r="G419" i="1"/>
  <c r="A420" i="1"/>
  <c r="B420" i="1"/>
  <c r="C420" i="1"/>
  <c r="E420" i="1"/>
  <c r="F420" i="1"/>
  <c r="H420" i="1"/>
  <c r="G420" i="1"/>
  <c r="A421" i="1"/>
  <c r="B421" i="1"/>
  <c r="C421" i="1"/>
  <c r="E421" i="1"/>
  <c r="F421" i="1"/>
  <c r="H421" i="1"/>
  <c r="G421" i="1"/>
  <c r="A422" i="1"/>
  <c r="B422" i="1"/>
  <c r="C422" i="1"/>
  <c r="E422" i="1"/>
  <c r="F422" i="1"/>
  <c r="H422" i="1"/>
  <c r="G422" i="1"/>
  <c r="A423" i="1"/>
  <c r="B423" i="1"/>
  <c r="C423" i="1"/>
  <c r="E423" i="1"/>
  <c r="F423" i="1"/>
  <c r="H423" i="1"/>
  <c r="G423" i="1"/>
  <c r="A424" i="1"/>
  <c r="B424" i="1"/>
  <c r="C424" i="1"/>
  <c r="E424" i="1"/>
  <c r="F424" i="1"/>
  <c r="H424" i="1"/>
  <c r="G424" i="1"/>
  <c r="A425" i="1"/>
  <c r="B425" i="1"/>
  <c r="C425" i="1"/>
  <c r="E425" i="1"/>
  <c r="F425" i="1"/>
  <c r="H425" i="1"/>
  <c r="G425" i="1"/>
  <c r="A426" i="1"/>
  <c r="B426" i="1"/>
  <c r="C426" i="1"/>
  <c r="E426" i="1"/>
  <c r="F426" i="1"/>
  <c r="H426" i="1"/>
  <c r="G426" i="1"/>
  <c r="A427" i="1"/>
  <c r="B427" i="1"/>
  <c r="C427" i="1"/>
  <c r="E427" i="1"/>
  <c r="F427" i="1"/>
  <c r="H427" i="1"/>
  <c r="G427" i="1"/>
  <c r="A428" i="1"/>
  <c r="B428" i="1"/>
  <c r="C428" i="1"/>
  <c r="E428" i="1"/>
  <c r="F428" i="1"/>
  <c r="H428" i="1"/>
  <c r="G428" i="1"/>
  <c r="A429" i="1"/>
  <c r="B429" i="1"/>
  <c r="C429" i="1"/>
  <c r="E429" i="1"/>
  <c r="F429" i="1"/>
  <c r="H429" i="1"/>
  <c r="G429" i="1"/>
  <c r="A430" i="1"/>
  <c r="B430" i="1"/>
  <c r="C430" i="1"/>
  <c r="E430" i="1"/>
  <c r="F430" i="1"/>
  <c r="H430" i="1"/>
  <c r="G430" i="1"/>
  <c r="A431" i="1"/>
  <c r="B431" i="1"/>
  <c r="C431" i="1"/>
  <c r="E431" i="1"/>
  <c r="F431" i="1"/>
  <c r="H431" i="1"/>
  <c r="G431" i="1"/>
  <c r="A432" i="1"/>
  <c r="B432" i="1"/>
  <c r="C432" i="1"/>
  <c r="E432" i="1"/>
  <c r="F432" i="1"/>
  <c r="H432" i="1"/>
  <c r="G432" i="1"/>
  <c r="A433" i="1"/>
  <c r="B433" i="1"/>
  <c r="C433" i="1"/>
  <c r="E433" i="1"/>
  <c r="F433" i="1"/>
  <c r="H433" i="1"/>
  <c r="G433" i="1"/>
  <c r="A434" i="1"/>
  <c r="B434" i="1"/>
  <c r="C434" i="1"/>
  <c r="E434" i="1"/>
  <c r="F434" i="1"/>
  <c r="H434" i="1"/>
  <c r="G434" i="1"/>
  <c r="A435" i="1"/>
  <c r="B435" i="1"/>
  <c r="C435" i="1"/>
  <c r="E435" i="1"/>
  <c r="F435" i="1"/>
  <c r="H435" i="1"/>
  <c r="G435" i="1"/>
  <c r="A436" i="1"/>
  <c r="B436" i="1"/>
  <c r="C436" i="1"/>
  <c r="E436" i="1"/>
  <c r="F436" i="1"/>
  <c r="H436" i="1"/>
  <c r="G436" i="1"/>
  <c r="A437" i="1"/>
  <c r="B437" i="1"/>
  <c r="C437" i="1"/>
  <c r="E437" i="1"/>
  <c r="F437" i="1"/>
  <c r="H437" i="1"/>
  <c r="G437" i="1"/>
  <c r="A438" i="1"/>
  <c r="B438" i="1"/>
  <c r="C438" i="1"/>
  <c r="E438" i="1"/>
  <c r="F438" i="1"/>
  <c r="H438" i="1"/>
  <c r="G438" i="1"/>
  <c r="A439" i="1"/>
  <c r="B439" i="1"/>
  <c r="C439" i="1"/>
  <c r="E439" i="1"/>
  <c r="F439" i="1"/>
  <c r="H439" i="1"/>
  <c r="G439" i="1"/>
  <c r="A440" i="1"/>
  <c r="B440" i="1"/>
  <c r="C440" i="1"/>
  <c r="E440" i="1"/>
  <c r="F440" i="1"/>
  <c r="H440" i="1"/>
  <c r="G440" i="1"/>
  <c r="A441" i="1"/>
  <c r="B441" i="1"/>
  <c r="C441" i="1"/>
  <c r="E441" i="1"/>
  <c r="F441" i="1"/>
  <c r="H441" i="1"/>
  <c r="G441" i="1"/>
  <c r="A442" i="1"/>
  <c r="B442" i="1"/>
  <c r="C442" i="1"/>
  <c r="E442" i="1"/>
  <c r="F442" i="1"/>
  <c r="H442" i="1"/>
  <c r="G442" i="1"/>
  <c r="A443" i="1"/>
  <c r="B443" i="1"/>
  <c r="C443" i="1"/>
  <c r="E443" i="1"/>
  <c r="F443" i="1"/>
  <c r="H443" i="1"/>
  <c r="G443" i="1"/>
  <c r="A444" i="1"/>
  <c r="B444" i="1"/>
  <c r="C444" i="1"/>
  <c r="E444" i="1"/>
  <c r="F444" i="1"/>
  <c r="H444" i="1"/>
  <c r="G444" i="1"/>
  <c r="A445" i="1"/>
  <c r="B445" i="1"/>
  <c r="C445" i="1"/>
  <c r="E445" i="1"/>
  <c r="F445" i="1"/>
  <c r="H445" i="1"/>
  <c r="G445" i="1"/>
  <c r="A446" i="1"/>
  <c r="B446" i="1"/>
  <c r="C446" i="1"/>
  <c r="E446" i="1"/>
  <c r="F446" i="1"/>
  <c r="H446" i="1"/>
  <c r="G446" i="1"/>
  <c r="A447" i="1"/>
  <c r="B447" i="1"/>
  <c r="C447" i="1"/>
  <c r="E447" i="1"/>
  <c r="F447" i="1"/>
  <c r="H447" i="1"/>
  <c r="G447" i="1"/>
  <c r="A448" i="1"/>
  <c r="B448" i="1"/>
  <c r="C448" i="1"/>
  <c r="E448" i="1"/>
  <c r="F448" i="1"/>
  <c r="H448" i="1"/>
  <c r="G448" i="1"/>
  <c r="A449" i="1"/>
  <c r="B449" i="1"/>
  <c r="C449" i="1"/>
  <c r="E449" i="1"/>
  <c r="F449" i="1"/>
  <c r="H449" i="1"/>
  <c r="G449" i="1"/>
  <c r="A450" i="1"/>
  <c r="B450" i="1"/>
  <c r="C450" i="1"/>
  <c r="E450" i="1"/>
  <c r="F450" i="1"/>
  <c r="H450" i="1"/>
  <c r="G450" i="1"/>
  <c r="A451" i="1"/>
  <c r="B451" i="1"/>
  <c r="C451" i="1"/>
  <c r="E451" i="1"/>
  <c r="F451" i="1"/>
  <c r="H451" i="1"/>
  <c r="G451" i="1"/>
  <c r="A452" i="1"/>
  <c r="B452" i="1"/>
  <c r="C452" i="1"/>
  <c r="E452" i="1"/>
  <c r="F452" i="1"/>
  <c r="H452" i="1"/>
  <c r="G452" i="1"/>
  <c r="A453" i="1"/>
  <c r="B453" i="1"/>
  <c r="C453" i="1"/>
  <c r="E453" i="1"/>
  <c r="F453" i="1"/>
  <c r="H453" i="1"/>
  <c r="G453" i="1"/>
  <c r="A454" i="1"/>
  <c r="B454" i="1"/>
  <c r="C454" i="1"/>
  <c r="E454" i="1"/>
  <c r="F454" i="1"/>
  <c r="H454" i="1"/>
  <c r="G454" i="1"/>
  <c r="A455" i="1"/>
  <c r="B455" i="1"/>
  <c r="C455" i="1"/>
  <c r="E455" i="1"/>
  <c r="F455" i="1"/>
  <c r="H455" i="1"/>
  <c r="G455" i="1"/>
  <c r="A456" i="1"/>
  <c r="B456" i="1"/>
  <c r="C456" i="1"/>
  <c r="E456" i="1"/>
  <c r="F456" i="1"/>
  <c r="H456" i="1"/>
  <c r="G456" i="1"/>
  <c r="A457" i="1"/>
  <c r="B457" i="1"/>
  <c r="C457" i="1"/>
  <c r="E457" i="1"/>
  <c r="F457" i="1"/>
  <c r="H457" i="1"/>
  <c r="G457" i="1"/>
  <c r="A458" i="1"/>
  <c r="B458" i="1"/>
  <c r="C458" i="1"/>
  <c r="E458" i="1"/>
  <c r="F458" i="1"/>
  <c r="H458" i="1"/>
  <c r="G458" i="1"/>
  <c r="A459" i="1"/>
  <c r="B459" i="1"/>
  <c r="C459" i="1"/>
  <c r="E459" i="1"/>
  <c r="F459" i="1"/>
  <c r="H459" i="1"/>
  <c r="G459" i="1"/>
  <c r="A460" i="1"/>
  <c r="B460" i="1"/>
  <c r="C460" i="1"/>
  <c r="E460" i="1"/>
  <c r="F460" i="1"/>
  <c r="H460" i="1"/>
  <c r="G460" i="1"/>
  <c r="A461" i="1"/>
  <c r="B461" i="1"/>
  <c r="C461" i="1"/>
  <c r="E461" i="1"/>
  <c r="F461" i="1"/>
  <c r="H461" i="1"/>
  <c r="G461" i="1"/>
  <c r="A462" i="1"/>
  <c r="B462" i="1"/>
  <c r="C462" i="1"/>
  <c r="E462" i="1"/>
  <c r="F462" i="1"/>
  <c r="H462" i="1"/>
  <c r="G462" i="1"/>
  <c r="A463" i="1"/>
  <c r="B463" i="1"/>
  <c r="C463" i="1"/>
  <c r="E463" i="1"/>
  <c r="F463" i="1"/>
  <c r="H463" i="1"/>
  <c r="G463" i="1"/>
  <c r="A464" i="1"/>
  <c r="B464" i="1"/>
  <c r="C464" i="1"/>
  <c r="E464" i="1"/>
  <c r="F464" i="1"/>
  <c r="H464" i="1"/>
  <c r="G464" i="1"/>
  <c r="A465" i="1"/>
  <c r="B465" i="1"/>
  <c r="C465" i="1"/>
  <c r="E465" i="1"/>
  <c r="F465" i="1"/>
  <c r="H465" i="1"/>
  <c r="G465" i="1"/>
  <c r="A466" i="1"/>
  <c r="B466" i="1"/>
  <c r="C466" i="1"/>
  <c r="E466" i="1"/>
  <c r="F466" i="1"/>
  <c r="H466" i="1"/>
  <c r="G466" i="1"/>
  <c r="A467" i="1"/>
  <c r="B467" i="1"/>
  <c r="C467" i="1"/>
  <c r="E467" i="1"/>
  <c r="F467" i="1"/>
  <c r="H467" i="1"/>
  <c r="G467" i="1"/>
  <c r="A468" i="1"/>
  <c r="B468" i="1"/>
  <c r="C468" i="1"/>
  <c r="E468" i="1"/>
  <c r="F468" i="1"/>
  <c r="H468" i="1"/>
  <c r="G468" i="1"/>
  <c r="A469" i="1"/>
  <c r="B469" i="1"/>
  <c r="C469" i="1"/>
  <c r="E469" i="1"/>
  <c r="F469" i="1"/>
  <c r="H469" i="1"/>
  <c r="G469" i="1"/>
  <c r="A470" i="1"/>
  <c r="B470" i="1"/>
  <c r="C470" i="1"/>
  <c r="E470" i="1"/>
  <c r="F470" i="1"/>
  <c r="H470" i="1"/>
  <c r="G470" i="1"/>
  <c r="A471" i="1"/>
  <c r="B471" i="1"/>
  <c r="C471" i="1"/>
  <c r="E471" i="1"/>
  <c r="F471" i="1"/>
  <c r="H471" i="1"/>
  <c r="G471" i="1"/>
  <c r="A472" i="1"/>
  <c r="B472" i="1"/>
  <c r="C472" i="1"/>
  <c r="E472" i="1"/>
  <c r="F472" i="1"/>
  <c r="H472" i="1"/>
  <c r="G472" i="1"/>
  <c r="A473" i="1"/>
  <c r="B473" i="1"/>
  <c r="C473" i="1"/>
  <c r="E473" i="1"/>
  <c r="F473" i="1"/>
  <c r="H473" i="1"/>
  <c r="G473" i="1"/>
  <c r="A474" i="1"/>
  <c r="B474" i="1"/>
  <c r="C474" i="1"/>
  <c r="E474" i="1"/>
  <c r="F474" i="1"/>
  <c r="H474" i="1"/>
  <c r="G474" i="1"/>
  <c r="A475" i="1"/>
  <c r="B475" i="1"/>
  <c r="C475" i="1"/>
  <c r="E475" i="1"/>
  <c r="F475" i="1"/>
  <c r="H475" i="1"/>
  <c r="G475" i="1"/>
  <c r="A476" i="1"/>
  <c r="B476" i="1"/>
  <c r="C476" i="1"/>
  <c r="E476" i="1"/>
  <c r="F476" i="1"/>
  <c r="H476" i="1"/>
  <c r="G476" i="1"/>
  <c r="A477" i="1"/>
  <c r="B477" i="1"/>
  <c r="C477" i="1"/>
  <c r="E477" i="1"/>
  <c r="F477" i="1"/>
  <c r="H477" i="1"/>
  <c r="G477" i="1"/>
  <c r="A478" i="1"/>
  <c r="B478" i="1"/>
  <c r="C478" i="1"/>
  <c r="E478" i="1"/>
  <c r="F478" i="1"/>
  <c r="H478" i="1"/>
  <c r="G478" i="1"/>
  <c r="A479" i="1"/>
  <c r="B479" i="1"/>
  <c r="C479" i="1"/>
  <c r="E479" i="1"/>
  <c r="F479" i="1"/>
  <c r="H479" i="1"/>
  <c r="G479" i="1"/>
  <c r="A480" i="1"/>
  <c r="B480" i="1"/>
  <c r="C480" i="1"/>
  <c r="E480" i="1"/>
  <c r="F480" i="1"/>
  <c r="H480" i="1"/>
  <c r="G480" i="1"/>
  <c r="A481" i="1"/>
  <c r="B481" i="1"/>
  <c r="C481" i="1"/>
  <c r="E481" i="1"/>
  <c r="F481" i="1"/>
  <c r="H481" i="1"/>
  <c r="G481" i="1"/>
  <c r="A482" i="1"/>
  <c r="B482" i="1"/>
  <c r="C482" i="1"/>
  <c r="E482" i="1"/>
  <c r="F482" i="1"/>
  <c r="H482" i="1"/>
  <c r="G482" i="1"/>
  <c r="A483" i="1"/>
  <c r="B483" i="1"/>
  <c r="C483" i="1"/>
  <c r="E483" i="1"/>
  <c r="F483" i="1"/>
  <c r="H483" i="1"/>
  <c r="G483" i="1"/>
  <c r="A484" i="1"/>
  <c r="B484" i="1"/>
  <c r="C484" i="1"/>
  <c r="E484" i="1"/>
  <c r="F484" i="1"/>
  <c r="H484" i="1"/>
  <c r="G484" i="1"/>
  <c r="A485" i="1"/>
  <c r="B485" i="1"/>
  <c r="C485" i="1"/>
  <c r="E485" i="1"/>
  <c r="F485" i="1"/>
  <c r="H485" i="1"/>
  <c r="G485" i="1"/>
  <c r="A486" i="1"/>
  <c r="B486" i="1"/>
  <c r="C486" i="1"/>
  <c r="E486" i="1"/>
  <c r="F486" i="1"/>
  <c r="H486" i="1"/>
  <c r="G486" i="1"/>
  <c r="A487" i="1"/>
  <c r="B487" i="1"/>
  <c r="C487" i="1"/>
  <c r="E487" i="1"/>
  <c r="F487" i="1"/>
  <c r="H487" i="1"/>
  <c r="G487" i="1"/>
  <c r="A488" i="1"/>
  <c r="B488" i="1"/>
  <c r="C488" i="1"/>
  <c r="E488" i="1"/>
  <c r="F488" i="1"/>
  <c r="H488" i="1"/>
  <c r="G488" i="1"/>
  <c r="A489" i="1"/>
  <c r="B489" i="1"/>
  <c r="C489" i="1"/>
  <c r="E489" i="1"/>
  <c r="F489" i="1"/>
  <c r="H489" i="1"/>
  <c r="G489" i="1"/>
  <c r="A490" i="1"/>
  <c r="B490" i="1"/>
  <c r="C490" i="1"/>
  <c r="E490" i="1"/>
  <c r="F490" i="1"/>
  <c r="H490" i="1"/>
  <c r="G490" i="1"/>
  <c r="A491" i="1"/>
  <c r="B491" i="1"/>
  <c r="C491" i="1"/>
  <c r="E491" i="1"/>
  <c r="F491" i="1"/>
  <c r="H491" i="1"/>
  <c r="G491" i="1"/>
  <c r="A492" i="1"/>
  <c r="B492" i="1"/>
  <c r="C492" i="1"/>
  <c r="E492" i="1"/>
  <c r="F492" i="1"/>
  <c r="H492" i="1"/>
  <c r="G492" i="1"/>
  <c r="A493" i="1"/>
  <c r="B493" i="1"/>
  <c r="C493" i="1"/>
  <c r="E493" i="1"/>
  <c r="F493" i="1"/>
  <c r="H493" i="1"/>
  <c r="G493" i="1"/>
  <c r="A494" i="1"/>
  <c r="B494" i="1"/>
  <c r="C494" i="1"/>
  <c r="E494" i="1"/>
  <c r="F494" i="1"/>
  <c r="H494" i="1"/>
  <c r="G494" i="1"/>
  <c r="A495" i="1"/>
  <c r="B495" i="1"/>
  <c r="C495" i="1"/>
  <c r="E495" i="1"/>
  <c r="F495" i="1"/>
  <c r="H495" i="1"/>
  <c r="G495" i="1"/>
  <c r="A496" i="1"/>
  <c r="B496" i="1"/>
  <c r="C496" i="1"/>
  <c r="E496" i="1"/>
  <c r="F496" i="1"/>
  <c r="H496" i="1"/>
  <c r="G496" i="1"/>
  <c r="A497" i="1"/>
  <c r="C497" i="1"/>
  <c r="E497" i="1"/>
  <c r="H497" i="1"/>
  <c r="G497" i="1"/>
  <c r="A498" i="1"/>
  <c r="B498" i="1"/>
  <c r="C498" i="1"/>
  <c r="E498" i="1"/>
  <c r="F498" i="1"/>
  <c r="H498" i="1"/>
  <c r="G498" i="1"/>
  <c r="A499" i="1"/>
  <c r="B499" i="1"/>
  <c r="C499" i="1"/>
  <c r="E499" i="1"/>
  <c r="F499" i="1"/>
  <c r="H499" i="1"/>
  <c r="G499" i="1"/>
  <c r="A500" i="1"/>
  <c r="B500" i="1"/>
  <c r="C500" i="1"/>
  <c r="E500" i="1"/>
  <c r="F500" i="1"/>
  <c r="H500" i="1"/>
  <c r="G500" i="1"/>
  <c r="A501" i="1"/>
  <c r="B501" i="1"/>
  <c r="C501" i="1"/>
  <c r="E501" i="1"/>
  <c r="F501" i="1"/>
  <c r="H501" i="1"/>
  <c r="G501" i="1"/>
  <c r="A502" i="1"/>
  <c r="B502" i="1"/>
  <c r="C502" i="1"/>
  <c r="E502" i="1"/>
  <c r="F502" i="1"/>
  <c r="H502" i="1"/>
  <c r="G502" i="1"/>
  <c r="A503" i="1"/>
  <c r="B503" i="1"/>
  <c r="C503" i="1"/>
  <c r="E503" i="1"/>
  <c r="F503" i="1"/>
  <c r="H503" i="1"/>
  <c r="G503" i="1"/>
  <c r="A504" i="1"/>
  <c r="B504" i="1"/>
  <c r="C504" i="1"/>
  <c r="E504" i="1"/>
  <c r="F504" i="1"/>
  <c r="H504" i="1"/>
  <c r="G504" i="1"/>
  <c r="A505" i="1"/>
  <c r="B505" i="1"/>
  <c r="C505" i="1"/>
  <c r="E505" i="1"/>
  <c r="F505" i="1"/>
  <c r="H505" i="1"/>
  <c r="G505" i="1"/>
  <c r="A506" i="1"/>
  <c r="B506" i="1"/>
  <c r="C506" i="1"/>
  <c r="E506" i="1"/>
  <c r="F506" i="1"/>
  <c r="H506" i="1"/>
  <c r="G506" i="1"/>
  <c r="A507" i="1"/>
  <c r="B507" i="1"/>
  <c r="C507" i="1"/>
  <c r="E507" i="1"/>
  <c r="F507" i="1"/>
  <c r="H507" i="1"/>
  <c r="G507" i="1"/>
  <c r="A508" i="1"/>
  <c r="B508" i="1"/>
  <c r="C508" i="1"/>
  <c r="E508" i="1"/>
  <c r="F508" i="1"/>
  <c r="H508" i="1"/>
  <c r="G508" i="1"/>
  <c r="A509" i="1"/>
  <c r="B509" i="1"/>
  <c r="C509" i="1"/>
  <c r="E509" i="1"/>
  <c r="F509" i="1"/>
  <c r="H509" i="1"/>
  <c r="G509" i="1"/>
  <c r="A510" i="1"/>
  <c r="B510" i="1"/>
  <c r="C510" i="1"/>
  <c r="E510" i="1"/>
  <c r="F510" i="1"/>
  <c r="H510" i="1"/>
  <c r="G510" i="1"/>
  <c r="A511" i="1"/>
  <c r="B511" i="1"/>
  <c r="C511" i="1"/>
  <c r="E511" i="1"/>
  <c r="F511" i="1"/>
  <c r="H511" i="1"/>
  <c r="G511" i="1"/>
  <c r="A512" i="1"/>
  <c r="B512" i="1"/>
  <c r="C512" i="1"/>
  <c r="E512" i="1"/>
  <c r="F512" i="1"/>
  <c r="H512" i="1"/>
  <c r="G512" i="1"/>
  <c r="A513" i="1"/>
  <c r="B513" i="1"/>
  <c r="C513" i="1"/>
  <c r="E513" i="1"/>
  <c r="F513" i="1"/>
  <c r="H513" i="1"/>
  <c r="G513" i="1"/>
  <c r="A514" i="1"/>
  <c r="B514" i="1"/>
  <c r="C514" i="1"/>
  <c r="E514" i="1"/>
  <c r="F514" i="1"/>
  <c r="H514" i="1"/>
  <c r="G514" i="1"/>
  <c r="A515" i="1"/>
  <c r="B515" i="1"/>
  <c r="C515" i="1"/>
  <c r="E515" i="1"/>
  <c r="F515" i="1"/>
  <c r="H515" i="1"/>
  <c r="G515" i="1"/>
  <c r="A516" i="1"/>
  <c r="B516" i="1"/>
  <c r="C516" i="1"/>
  <c r="E516" i="1"/>
  <c r="F516" i="1"/>
  <c r="H516" i="1"/>
  <c r="G516" i="1"/>
  <c r="A517" i="1"/>
  <c r="B517" i="1"/>
  <c r="C517" i="1"/>
  <c r="E517" i="1"/>
  <c r="F517" i="1"/>
  <c r="H517" i="1"/>
  <c r="G517" i="1"/>
  <c r="A518" i="1"/>
  <c r="B518" i="1"/>
  <c r="C518" i="1"/>
  <c r="E518" i="1"/>
  <c r="F518" i="1"/>
  <c r="H518" i="1"/>
  <c r="G518" i="1"/>
  <c r="A519" i="1"/>
  <c r="B519" i="1"/>
  <c r="C519" i="1"/>
  <c r="E519" i="1"/>
  <c r="F519" i="1"/>
  <c r="H519" i="1"/>
  <c r="G519" i="1"/>
  <c r="A520" i="1"/>
  <c r="B520" i="1"/>
  <c r="C520" i="1"/>
  <c r="E520" i="1"/>
  <c r="F520" i="1"/>
  <c r="H520" i="1"/>
  <c r="G520" i="1"/>
  <c r="A521" i="1"/>
  <c r="B521" i="1"/>
  <c r="C521" i="1"/>
  <c r="E521" i="1"/>
  <c r="F521" i="1"/>
  <c r="H521" i="1"/>
  <c r="G521" i="1"/>
  <c r="A522" i="1"/>
  <c r="B522" i="1"/>
  <c r="C522" i="1"/>
  <c r="E522" i="1"/>
  <c r="F522" i="1"/>
  <c r="H522" i="1"/>
  <c r="G522" i="1"/>
  <c r="A523" i="1"/>
  <c r="B523" i="1"/>
  <c r="C523" i="1"/>
  <c r="E523" i="1"/>
  <c r="F523" i="1"/>
  <c r="H523" i="1"/>
  <c r="G523" i="1"/>
  <c r="A524" i="1"/>
  <c r="B524" i="1"/>
  <c r="C524" i="1"/>
  <c r="E524" i="1"/>
  <c r="F524" i="1"/>
  <c r="H524" i="1"/>
  <c r="G524" i="1"/>
  <c r="A525" i="1"/>
  <c r="B525" i="1"/>
  <c r="C525" i="1"/>
  <c r="E525" i="1"/>
  <c r="F525" i="1"/>
  <c r="H525" i="1"/>
  <c r="G525" i="1"/>
  <c r="A526" i="1"/>
  <c r="B526" i="1"/>
  <c r="C526" i="1"/>
  <c r="E526" i="1"/>
  <c r="F526" i="1"/>
  <c r="H526" i="1"/>
  <c r="G526" i="1"/>
  <c r="A527" i="1"/>
  <c r="B527" i="1"/>
  <c r="C527" i="1"/>
  <c r="E527" i="1"/>
  <c r="F527" i="1"/>
  <c r="H527" i="1"/>
  <c r="G527" i="1"/>
  <c r="A528" i="1"/>
  <c r="B528" i="1"/>
  <c r="C528" i="1"/>
  <c r="E528" i="1"/>
  <c r="F528" i="1"/>
  <c r="H528" i="1"/>
  <c r="G528" i="1"/>
  <c r="A529" i="1"/>
  <c r="B529" i="1"/>
  <c r="C529" i="1"/>
  <c r="E529" i="1"/>
  <c r="F529" i="1"/>
  <c r="H529" i="1"/>
  <c r="G529" i="1"/>
  <c r="A530" i="1"/>
  <c r="B530" i="1"/>
  <c r="C530" i="1"/>
  <c r="E530" i="1"/>
  <c r="F530" i="1"/>
  <c r="H530" i="1"/>
  <c r="G530" i="1"/>
  <c r="A531" i="1"/>
  <c r="B531" i="1"/>
  <c r="C531" i="1"/>
  <c r="E531" i="1"/>
  <c r="F531" i="1"/>
  <c r="H531" i="1"/>
  <c r="G531" i="1"/>
  <c r="A532" i="1"/>
  <c r="B532" i="1"/>
  <c r="C532" i="1"/>
  <c r="E532" i="1"/>
  <c r="F532" i="1"/>
  <c r="H532" i="1"/>
  <c r="G532" i="1"/>
  <c r="A533" i="1"/>
  <c r="B533" i="1"/>
  <c r="C533" i="1"/>
  <c r="E533" i="1"/>
  <c r="F533" i="1"/>
  <c r="H533" i="1"/>
  <c r="G533" i="1"/>
  <c r="A534" i="1"/>
  <c r="B534" i="1"/>
  <c r="C534" i="1"/>
  <c r="E534" i="1"/>
  <c r="F534" i="1"/>
  <c r="H534" i="1"/>
  <c r="G534" i="1"/>
  <c r="A535" i="1"/>
  <c r="B535" i="1"/>
  <c r="C535" i="1"/>
  <c r="E535" i="1"/>
  <c r="F535" i="1"/>
  <c r="H535" i="1"/>
  <c r="G535" i="1"/>
  <c r="A536" i="1"/>
  <c r="B536" i="1"/>
  <c r="C536" i="1"/>
  <c r="E536" i="1"/>
  <c r="F536" i="1"/>
  <c r="H536" i="1"/>
  <c r="G536" i="1"/>
  <c r="A537" i="1"/>
  <c r="B537" i="1"/>
  <c r="C537" i="1"/>
  <c r="E537" i="1"/>
  <c r="F537" i="1"/>
  <c r="H537" i="1"/>
  <c r="G537" i="1"/>
  <c r="A538" i="1"/>
  <c r="B538" i="1"/>
  <c r="C538" i="1"/>
  <c r="E538" i="1"/>
  <c r="F538" i="1"/>
  <c r="H538" i="1"/>
  <c r="G538" i="1"/>
  <c r="A539" i="1"/>
  <c r="B539" i="1"/>
  <c r="C539" i="1"/>
  <c r="E539" i="1"/>
  <c r="F539" i="1"/>
  <c r="H539" i="1"/>
  <c r="G539" i="1"/>
  <c r="A540" i="1"/>
  <c r="B540" i="1"/>
  <c r="C540" i="1"/>
  <c r="E540" i="1"/>
  <c r="F540" i="1"/>
  <c r="H540" i="1"/>
  <c r="G540" i="1"/>
  <c r="A541" i="1"/>
  <c r="B541" i="1"/>
  <c r="C541" i="1"/>
  <c r="E541" i="1"/>
  <c r="F541" i="1"/>
  <c r="H541" i="1"/>
  <c r="G541" i="1"/>
  <c r="A542" i="1"/>
  <c r="B542" i="1"/>
  <c r="C542" i="1"/>
  <c r="E542" i="1"/>
  <c r="F542" i="1"/>
  <c r="H542" i="1"/>
  <c r="G542" i="1"/>
  <c r="A543" i="1"/>
  <c r="B543" i="1"/>
  <c r="C543" i="1"/>
  <c r="E543" i="1"/>
  <c r="F543" i="1"/>
  <c r="H543" i="1"/>
  <c r="G543" i="1"/>
  <c r="A544" i="1"/>
  <c r="B544" i="1"/>
  <c r="C544" i="1"/>
  <c r="E544" i="1"/>
  <c r="F544" i="1"/>
  <c r="H544" i="1"/>
  <c r="G544" i="1"/>
  <c r="A545" i="1"/>
  <c r="B545" i="1"/>
  <c r="C545" i="1"/>
  <c r="E545" i="1"/>
  <c r="F545" i="1"/>
  <c r="H545" i="1"/>
  <c r="G545" i="1"/>
  <c r="A546" i="1"/>
  <c r="B546" i="1"/>
  <c r="C546" i="1"/>
  <c r="E546" i="1"/>
  <c r="F546" i="1"/>
  <c r="H546" i="1"/>
  <c r="G546" i="1"/>
  <c r="A547" i="1"/>
  <c r="B547" i="1"/>
  <c r="C547" i="1"/>
  <c r="E547" i="1"/>
  <c r="F547" i="1"/>
  <c r="H547" i="1"/>
  <c r="G547" i="1"/>
  <c r="A548" i="1"/>
  <c r="B548" i="1"/>
  <c r="C548" i="1"/>
  <c r="E548" i="1"/>
  <c r="F548" i="1"/>
  <c r="H548" i="1"/>
  <c r="G548" i="1"/>
  <c r="A549" i="1"/>
  <c r="B549" i="1"/>
  <c r="C549" i="1"/>
  <c r="E549" i="1"/>
  <c r="F549" i="1"/>
  <c r="H549" i="1"/>
  <c r="G549" i="1"/>
  <c r="A550" i="1"/>
  <c r="B550" i="1"/>
  <c r="C550" i="1"/>
  <c r="E550" i="1"/>
  <c r="F550" i="1"/>
  <c r="H550" i="1"/>
  <c r="G550" i="1"/>
  <c r="A551" i="1"/>
  <c r="B551" i="1"/>
  <c r="C551" i="1"/>
  <c r="E551" i="1"/>
  <c r="F551" i="1"/>
  <c r="H551" i="1"/>
  <c r="G551" i="1"/>
  <c r="A552" i="1"/>
  <c r="B552" i="1"/>
  <c r="C552" i="1"/>
  <c r="E552" i="1"/>
  <c r="F552" i="1"/>
  <c r="H552" i="1"/>
  <c r="G552" i="1"/>
  <c r="A553" i="1"/>
  <c r="B553" i="1"/>
  <c r="C553" i="1"/>
  <c r="E553" i="1"/>
  <c r="F553" i="1"/>
  <c r="H553" i="1"/>
  <c r="G553" i="1"/>
  <c r="A554" i="1"/>
  <c r="B554" i="1"/>
  <c r="C554" i="1"/>
  <c r="E554" i="1"/>
  <c r="F554" i="1"/>
  <c r="H554" i="1"/>
  <c r="G554" i="1"/>
  <c r="A555" i="1"/>
  <c r="B555" i="1"/>
  <c r="C555" i="1"/>
  <c r="E555" i="1"/>
  <c r="F555" i="1"/>
  <c r="H555" i="1"/>
  <c r="G555" i="1"/>
  <c r="A556" i="1"/>
  <c r="B556" i="1"/>
  <c r="C556" i="1"/>
  <c r="E556" i="1"/>
  <c r="F556" i="1"/>
  <c r="H556" i="1"/>
  <c r="G556" i="1"/>
  <c r="A557" i="1"/>
  <c r="B557" i="1"/>
  <c r="C557" i="1"/>
  <c r="E557" i="1"/>
  <c r="F557" i="1"/>
  <c r="H557" i="1"/>
  <c r="G557" i="1"/>
  <c r="A558" i="1"/>
  <c r="B558" i="1"/>
  <c r="C558" i="1"/>
  <c r="E558" i="1"/>
  <c r="F558" i="1"/>
  <c r="H558" i="1"/>
  <c r="G558" i="1"/>
  <c r="A559" i="1"/>
  <c r="B559" i="1"/>
  <c r="C559" i="1"/>
  <c r="E559" i="1"/>
  <c r="F559" i="1"/>
  <c r="H559" i="1"/>
  <c r="G559" i="1"/>
  <c r="A560" i="1"/>
  <c r="B560" i="1"/>
  <c r="C560" i="1"/>
  <c r="E560" i="1"/>
  <c r="F560" i="1"/>
  <c r="H560" i="1"/>
  <c r="G560" i="1"/>
  <c r="A561" i="1"/>
  <c r="B561" i="1"/>
  <c r="C561" i="1"/>
  <c r="E561" i="1"/>
  <c r="F561" i="1"/>
  <c r="H561" i="1"/>
  <c r="G561" i="1"/>
  <c r="A562" i="1"/>
  <c r="B562" i="1"/>
  <c r="C562" i="1"/>
  <c r="E562" i="1"/>
  <c r="F562" i="1"/>
  <c r="H562" i="1"/>
  <c r="G562" i="1"/>
  <c r="A563" i="1"/>
  <c r="B563" i="1"/>
  <c r="C563" i="1"/>
  <c r="E563" i="1"/>
  <c r="F563" i="1"/>
  <c r="H563" i="1"/>
  <c r="G563" i="1"/>
  <c r="A564" i="1"/>
  <c r="B564" i="1"/>
  <c r="C564" i="1"/>
  <c r="E564" i="1"/>
  <c r="F564" i="1"/>
  <c r="H564" i="1"/>
  <c r="G564" i="1"/>
  <c r="A565" i="1"/>
  <c r="B565" i="1"/>
  <c r="C565" i="1"/>
  <c r="E565" i="1"/>
  <c r="F565" i="1"/>
  <c r="H565" i="1"/>
  <c r="G565" i="1"/>
  <c r="A566" i="1"/>
  <c r="B566" i="1"/>
  <c r="C566" i="1"/>
  <c r="E566" i="1"/>
  <c r="F566" i="1"/>
  <c r="H566" i="1"/>
  <c r="G566" i="1"/>
  <c r="A567" i="1"/>
  <c r="B567" i="1"/>
  <c r="C567" i="1"/>
  <c r="E567" i="1"/>
  <c r="F567" i="1"/>
  <c r="H567" i="1"/>
  <c r="G567" i="1"/>
  <c r="A568" i="1"/>
  <c r="B568" i="1"/>
  <c r="C568" i="1"/>
  <c r="E568" i="1"/>
  <c r="F568" i="1"/>
  <c r="H568" i="1"/>
  <c r="G568" i="1"/>
  <c r="A569" i="1"/>
  <c r="B569" i="1"/>
  <c r="C569" i="1"/>
  <c r="E569" i="1"/>
  <c r="F569" i="1"/>
  <c r="H569" i="1"/>
  <c r="G569" i="1"/>
  <c r="A570" i="1"/>
  <c r="B570" i="1"/>
  <c r="C570" i="1"/>
  <c r="E570" i="1"/>
  <c r="F570" i="1"/>
  <c r="H570" i="1"/>
  <c r="G570" i="1"/>
  <c r="A571" i="1"/>
  <c r="B571" i="1"/>
  <c r="C571" i="1"/>
  <c r="E571" i="1"/>
  <c r="F571" i="1"/>
  <c r="H571" i="1"/>
  <c r="G571" i="1"/>
  <c r="A572" i="1"/>
  <c r="B572" i="1"/>
  <c r="C572" i="1"/>
  <c r="E572" i="1"/>
  <c r="F572" i="1"/>
  <c r="H572" i="1"/>
  <c r="G572" i="1"/>
  <c r="A573" i="1"/>
  <c r="B573" i="1"/>
  <c r="C573" i="1"/>
  <c r="E573" i="1"/>
  <c r="F573" i="1"/>
  <c r="H573" i="1"/>
  <c r="G573" i="1"/>
  <c r="A574" i="1"/>
  <c r="B574" i="1"/>
  <c r="C574" i="1"/>
  <c r="E574" i="1"/>
  <c r="F574" i="1"/>
  <c r="H574" i="1"/>
  <c r="G574" i="1"/>
  <c r="A575" i="1"/>
  <c r="B575" i="1"/>
  <c r="C575" i="1"/>
  <c r="E575" i="1"/>
  <c r="F575" i="1"/>
  <c r="H575" i="1"/>
  <c r="G575" i="1"/>
  <c r="A576" i="1"/>
  <c r="B576" i="1"/>
  <c r="C576" i="1"/>
  <c r="E576" i="1"/>
  <c r="F576" i="1"/>
  <c r="H576" i="1"/>
  <c r="G576" i="1"/>
  <c r="A577" i="1"/>
  <c r="B577" i="1"/>
  <c r="C577" i="1"/>
  <c r="E577" i="1"/>
  <c r="F577" i="1"/>
  <c r="H577" i="1"/>
  <c r="G577" i="1"/>
  <c r="A578" i="1"/>
  <c r="B578" i="1"/>
  <c r="C578" i="1"/>
  <c r="E578" i="1"/>
  <c r="F578" i="1"/>
  <c r="H578" i="1"/>
  <c r="G578" i="1"/>
  <c r="A579" i="1"/>
  <c r="B579" i="1"/>
  <c r="C579" i="1"/>
  <c r="E579" i="1"/>
  <c r="F579" i="1"/>
  <c r="H579" i="1"/>
  <c r="G579" i="1"/>
  <c r="A580" i="1"/>
  <c r="B580" i="1"/>
  <c r="C580" i="1"/>
  <c r="E580" i="1"/>
  <c r="F580" i="1"/>
  <c r="H580" i="1"/>
  <c r="G580" i="1"/>
  <c r="A581" i="1"/>
  <c r="B581" i="1"/>
  <c r="C581" i="1"/>
  <c r="E581" i="1"/>
  <c r="F581" i="1"/>
  <c r="H581" i="1"/>
  <c r="G581" i="1"/>
  <c r="A582" i="1"/>
  <c r="B582" i="1"/>
  <c r="C582" i="1"/>
  <c r="E582" i="1"/>
  <c r="F582" i="1"/>
  <c r="H582" i="1"/>
  <c r="G582" i="1"/>
  <c r="A583" i="1"/>
  <c r="B583" i="1"/>
  <c r="C583" i="1"/>
  <c r="E583" i="1"/>
  <c r="F583" i="1"/>
  <c r="H583" i="1"/>
  <c r="G583" i="1"/>
  <c r="A584" i="1"/>
  <c r="B584" i="1"/>
  <c r="C584" i="1"/>
  <c r="E584" i="1"/>
  <c r="F584" i="1"/>
  <c r="H584" i="1"/>
  <c r="G584" i="1"/>
  <c r="A585" i="1"/>
  <c r="B585" i="1"/>
  <c r="C585" i="1"/>
  <c r="E585" i="1"/>
  <c r="F585" i="1"/>
  <c r="H585" i="1"/>
  <c r="G585" i="1"/>
  <c r="A586" i="1"/>
  <c r="B586" i="1"/>
  <c r="C586" i="1"/>
  <c r="E586" i="1"/>
  <c r="F586" i="1"/>
  <c r="H586" i="1"/>
  <c r="G586" i="1"/>
  <c r="A587" i="1"/>
  <c r="B587" i="1"/>
  <c r="C587" i="1"/>
  <c r="E587" i="1"/>
  <c r="F587" i="1"/>
  <c r="H587" i="1"/>
  <c r="G587" i="1"/>
  <c r="A588" i="1"/>
  <c r="B588" i="1"/>
  <c r="C588" i="1"/>
  <c r="E588" i="1"/>
  <c r="F588" i="1"/>
  <c r="H588" i="1"/>
  <c r="G588" i="1"/>
  <c r="A589" i="1"/>
  <c r="B589" i="1"/>
  <c r="C589" i="1"/>
  <c r="E589" i="1"/>
  <c r="F589" i="1"/>
  <c r="H589" i="1"/>
  <c r="G589" i="1"/>
  <c r="A590" i="1"/>
  <c r="B590" i="1"/>
  <c r="C590" i="1"/>
  <c r="E590" i="1"/>
  <c r="F590" i="1"/>
  <c r="H590" i="1"/>
  <c r="G590" i="1"/>
  <c r="A591" i="1"/>
  <c r="B591" i="1"/>
  <c r="C591" i="1"/>
  <c r="E591" i="1"/>
  <c r="F591" i="1"/>
  <c r="H591" i="1"/>
  <c r="G591" i="1"/>
  <c r="A592" i="1"/>
  <c r="B592" i="1"/>
  <c r="C592" i="1"/>
  <c r="E592" i="1"/>
  <c r="F592" i="1"/>
  <c r="H592" i="1"/>
  <c r="G592" i="1"/>
  <c r="A593" i="1"/>
  <c r="B593" i="1"/>
  <c r="C593" i="1"/>
  <c r="E593" i="1"/>
  <c r="F593" i="1"/>
  <c r="H593" i="1"/>
  <c r="G593" i="1"/>
  <c r="A594" i="1"/>
  <c r="B594" i="1"/>
  <c r="C594" i="1"/>
  <c r="E594" i="1"/>
  <c r="F594" i="1"/>
  <c r="H594" i="1"/>
  <c r="G594" i="1"/>
  <c r="A595" i="1"/>
  <c r="B595" i="1"/>
  <c r="C595" i="1"/>
  <c r="E595" i="1"/>
  <c r="F595" i="1"/>
  <c r="H595" i="1"/>
  <c r="G595" i="1"/>
  <c r="A596" i="1"/>
  <c r="B596" i="1"/>
  <c r="C596" i="1"/>
  <c r="E596" i="1"/>
  <c r="F596" i="1"/>
  <c r="H596" i="1"/>
  <c r="G596" i="1"/>
  <c r="A597" i="1"/>
  <c r="B597" i="1"/>
  <c r="C597" i="1"/>
  <c r="E597" i="1"/>
  <c r="F597" i="1"/>
  <c r="H597" i="1"/>
  <c r="G597" i="1"/>
  <c r="A598" i="1"/>
  <c r="B598" i="1"/>
  <c r="C598" i="1"/>
  <c r="E598" i="1"/>
  <c r="F598" i="1"/>
  <c r="H598" i="1"/>
  <c r="G598" i="1"/>
  <c r="A599" i="1"/>
  <c r="B599" i="1"/>
  <c r="C599" i="1"/>
  <c r="E599" i="1"/>
  <c r="F599" i="1"/>
  <c r="H599" i="1"/>
  <c r="G599" i="1"/>
  <c r="A600" i="1"/>
  <c r="B600" i="1"/>
  <c r="C600" i="1"/>
  <c r="E600" i="1"/>
  <c r="F600" i="1"/>
  <c r="H600" i="1"/>
  <c r="G600" i="1"/>
  <c r="A601" i="1"/>
  <c r="B601" i="1"/>
  <c r="C601" i="1"/>
  <c r="E601" i="1"/>
  <c r="F601" i="1"/>
  <c r="H601" i="1"/>
  <c r="G601" i="1"/>
  <c r="A602" i="1"/>
  <c r="B602" i="1"/>
  <c r="C602" i="1"/>
  <c r="E602" i="1"/>
  <c r="F602" i="1"/>
  <c r="H602" i="1"/>
  <c r="G602" i="1"/>
  <c r="A603" i="1"/>
  <c r="B603" i="1"/>
  <c r="C603" i="1"/>
  <c r="E603" i="1"/>
  <c r="F603" i="1"/>
  <c r="H603" i="1"/>
  <c r="G603" i="1"/>
  <c r="A604" i="1"/>
  <c r="B604" i="1"/>
  <c r="C604" i="1"/>
  <c r="E604" i="1"/>
  <c r="F604" i="1"/>
  <c r="H604" i="1"/>
  <c r="G604" i="1"/>
  <c r="A605" i="1"/>
  <c r="B605" i="1"/>
  <c r="C605" i="1"/>
  <c r="E605" i="1"/>
  <c r="F605" i="1"/>
  <c r="H605" i="1"/>
  <c r="G605" i="1"/>
  <c r="A606" i="1"/>
  <c r="B606" i="1"/>
  <c r="C606" i="1"/>
  <c r="E606" i="1"/>
  <c r="F606" i="1"/>
  <c r="H606" i="1"/>
  <c r="G606" i="1"/>
  <c r="A607" i="1"/>
  <c r="B607" i="1"/>
  <c r="C607" i="1"/>
  <c r="E607" i="1"/>
  <c r="F607" i="1"/>
  <c r="H607" i="1"/>
  <c r="G607" i="1"/>
  <c r="A608" i="1"/>
  <c r="B608" i="1"/>
  <c r="C608" i="1"/>
  <c r="E608" i="1"/>
  <c r="F608" i="1"/>
  <c r="H608" i="1"/>
  <c r="G608" i="1"/>
  <c r="A609" i="1"/>
  <c r="B609" i="1"/>
  <c r="C609" i="1"/>
  <c r="E609" i="1"/>
  <c r="F609" i="1"/>
  <c r="H609" i="1"/>
  <c r="G609" i="1"/>
  <c r="A610" i="1"/>
  <c r="B610" i="1"/>
  <c r="C610" i="1"/>
  <c r="E610" i="1"/>
  <c r="F610" i="1"/>
  <c r="H610" i="1"/>
  <c r="G610" i="1"/>
  <c r="A611" i="1"/>
  <c r="B611" i="1"/>
  <c r="C611" i="1"/>
  <c r="E611" i="1"/>
  <c r="F611" i="1"/>
  <c r="H611" i="1"/>
  <c r="G611" i="1"/>
  <c r="A612" i="1"/>
  <c r="B612" i="1"/>
  <c r="C612" i="1"/>
  <c r="E612" i="1"/>
  <c r="F612" i="1"/>
  <c r="H612" i="1"/>
  <c r="G612" i="1"/>
  <c r="A613" i="1"/>
  <c r="B613" i="1"/>
  <c r="C613" i="1"/>
  <c r="E613" i="1"/>
  <c r="F613" i="1"/>
  <c r="H613" i="1"/>
  <c r="G613" i="1"/>
  <c r="A614" i="1"/>
  <c r="B614" i="1"/>
  <c r="C614" i="1"/>
  <c r="E614" i="1"/>
  <c r="F614" i="1"/>
  <c r="H614" i="1"/>
  <c r="G614" i="1"/>
  <c r="A615" i="1"/>
  <c r="B615" i="1"/>
  <c r="C615" i="1"/>
  <c r="E615" i="1"/>
  <c r="F615" i="1"/>
  <c r="H615" i="1"/>
  <c r="G615" i="1"/>
  <c r="A616" i="1"/>
  <c r="B616" i="1"/>
  <c r="C616" i="1"/>
  <c r="E616" i="1"/>
  <c r="F616" i="1"/>
  <c r="H616" i="1"/>
  <c r="G616" i="1"/>
  <c r="A617" i="1"/>
  <c r="B617" i="1"/>
  <c r="C617" i="1"/>
  <c r="E617" i="1"/>
  <c r="F617" i="1"/>
  <c r="H617" i="1"/>
  <c r="G617" i="1"/>
  <c r="A618" i="1"/>
  <c r="B618" i="1"/>
  <c r="C618" i="1"/>
  <c r="E618" i="1"/>
  <c r="F618" i="1"/>
  <c r="H618" i="1"/>
  <c r="G618" i="1"/>
  <c r="A619" i="1"/>
  <c r="B619" i="1"/>
  <c r="C619" i="1"/>
  <c r="E619" i="1"/>
  <c r="F619" i="1"/>
  <c r="H619" i="1"/>
  <c r="G619" i="1"/>
  <c r="A620" i="1"/>
  <c r="B620" i="1"/>
  <c r="C620" i="1"/>
  <c r="E620" i="1"/>
  <c r="F620" i="1"/>
  <c r="H620" i="1"/>
  <c r="G620" i="1"/>
  <c r="A621" i="1"/>
  <c r="B621" i="1"/>
  <c r="C621" i="1"/>
  <c r="E621" i="1"/>
  <c r="F621" i="1"/>
  <c r="H621" i="1"/>
  <c r="G621" i="1"/>
  <c r="A622" i="1"/>
  <c r="B622" i="1"/>
  <c r="C622" i="1"/>
  <c r="E622" i="1"/>
  <c r="F622" i="1"/>
  <c r="H622" i="1"/>
  <c r="G622" i="1"/>
  <c r="A623" i="1"/>
  <c r="B623" i="1"/>
  <c r="C623" i="1"/>
  <c r="E623" i="1"/>
  <c r="F623" i="1"/>
  <c r="H623" i="1"/>
  <c r="G623" i="1"/>
  <c r="A624" i="1"/>
  <c r="B624" i="1"/>
  <c r="C624" i="1"/>
  <c r="E624" i="1"/>
  <c r="F624" i="1"/>
  <c r="H624" i="1"/>
  <c r="G624" i="1"/>
  <c r="A625" i="1"/>
  <c r="B625" i="1"/>
  <c r="C625" i="1"/>
  <c r="E625" i="1"/>
  <c r="F625" i="1"/>
  <c r="H625" i="1"/>
  <c r="G625" i="1"/>
  <c r="A626" i="1"/>
  <c r="B626" i="1"/>
  <c r="C626" i="1"/>
  <c r="E626" i="1"/>
  <c r="F626" i="1"/>
  <c r="H626" i="1"/>
  <c r="G626" i="1"/>
  <c r="A627" i="1"/>
  <c r="B627" i="1"/>
  <c r="C627" i="1"/>
  <c r="E627" i="1"/>
  <c r="F627" i="1"/>
  <c r="H627" i="1"/>
  <c r="G627" i="1"/>
  <c r="A628" i="1"/>
  <c r="B628" i="1"/>
  <c r="C628" i="1"/>
  <c r="E628" i="1"/>
  <c r="F628" i="1"/>
  <c r="H628" i="1"/>
  <c r="G628" i="1"/>
  <c r="A629" i="1"/>
  <c r="B629" i="1"/>
  <c r="C629" i="1"/>
  <c r="E629" i="1"/>
  <c r="F629" i="1"/>
  <c r="H629" i="1"/>
  <c r="G629" i="1"/>
  <c r="A630" i="1"/>
  <c r="B630" i="1"/>
  <c r="C630" i="1"/>
  <c r="E630" i="1"/>
  <c r="F630" i="1"/>
  <c r="H630" i="1"/>
  <c r="G630" i="1"/>
  <c r="A631" i="1"/>
  <c r="B631" i="1"/>
  <c r="C631" i="1"/>
  <c r="E631" i="1"/>
  <c r="F631" i="1"/>
  <c r="H631" i="1"/>
  <c r="G631" i="1"/>
  <c r="A632" i="1"/>
  <c r="B632" i="1"/>
  <c r="C632" i="1"/>
  <c r="E632" i="1"/>
  <c r="F632" i="1"/>
  <c r="H632" i="1"/>
  <c r="G632" i="1"/>
  <c r="A633" i="1"/>
  <c r="B633" i="1"/>
  <c r="C633" i="1"/>
  <c r="E633" i="1"/>
  <c r="F633" i="1"/>
  <c r="H633" i="1"/>
  <c r="G633" i="1"/>
  <c r="A634" i="1"/>
  <c r="B634" i="1"/>
  <c r="C634" i="1"/>
  <c r="E634" i="1"/>
  <c r="F634" i="1"/>
  <c r="H634" i="1"/>
  <c r="G634" i="1"/>
  <c r="A635" i="1"/>
  <c r="B635" i="1"/>
  <c r="C635" i="1"/>
  <c r="E635" i="1"/>
  <c r="F635" i="1"/>
  <c r="H635" i="1"/>
  <c r="G635" i="1"/>
  <c r="A636" i="1"/>
  <c r="B636" i="1"/>
  <c r="C636" i="1"/>
  <c r="E636" i="1"/>
  <c r="F636" i="1"/>
  <c r="H636" i="1"/>
  <c r="G636" i="1"/>
  <c r="A637" i="1"/>
  <c r="B637" i="1"/>
  <c r="C637" i="1"/>
  <c r="E637" i="1"/>
  <c r="F637" i="1"/>
  <c r="H637" i="1"/>
  <c r="G637" i="1"/>
  <c r="A638" i="1"/>
  <c r="B638" i="1"/>
  <c r="C638" i="1"/>
  <c r="E638" i="1"/>
  <c r="F638" i="1"/>
  <c r="H638" i="1"/>
  <c r="G638" i="1"/>
  <c r="A639" i="1"/>
  <c r="B639" i="1"/>
  <c r="C639" i="1"/>
  <c r="E639" i="1"/>
  <c r="F639" i="1"/>
  <c r="H639" i="1"/>
  <c r="G639" i="1"/>
  <c r="A640" i="1"/>
  <c r="B640" i="1"/>
  <c r="C640" i="1"/>
  <c r="E640" i="1"/>
  <c r="F640" i="1"/>
  <c r="H640" i="1"/>
  <c r="G640" i="1"/>
  <c r="A641" i="1"/>
  <c r="B641" i="1"/>
  <c r="C641" i="1"/>
  <c r="E641" i="1"/>
  <c r="F641" i="1"/>
  <c r="H641" i="1"/>
  <c r="G641" i="1"/>
  <c r="A642" i="1"/>
  <c r="B642" i="1"/>
  <c r="C642" i="1"/>
  <c r="E642" i="1"/>
  <c r="F642" i="1"/>
  <c r="H642" i="1"/>
  <c r="G642" i="1"/>
  <c r="A643" i="1"/>
  <c r="B643" i="1"/>
  <c r="C643" i="1"/>
  <c r="E643" i="1"/>
  <c r="F643" i="1"/>
  <c r="H643" i="1"/>
  <c r="G643" i="1"/>
  <c r="A644" i="1"/>
  <c r="B644" i="1"/>
  <c r="C644" i="1"/>
  <c r="E644" i="1"/>
  <c r="F644" i="1"/>
  <c r="H644" i="1"/>
  <c r="G644" i="1"/>
  <c r="A645" i="1"/>
  <c r="B645" i="1"/>
  <c r="C645" i="1"/>
  <c r="E645" i="1"/>
  <c r="F645" i="1"/>
  <c r="H645" i="1"/>
  <c r="G645" i="1"/>
  <c r="A646" i="1"/>
  <c r="B646" i="1"/>
  <c r="C646" i="1"/>
  <c r="E646" i="1"/>
  <c r="F646" i="1"/>
  <c r="H646" i="1"/>
  <c r="G646" i="1"/>
  <c r="A647" i="1"/>
  <c r="B647" i="1"/>
  <c r="C647" i="1"/>
  <c r="E647" i="1"/>
  <c r="F647" i="1"/>
  <c r="H647" i="1"/>
  <c r="G647" i="1"/>
  <c r="A648" i="1"/>
  <c r="B648" i="1"/>
  <c r="C648" i="1"/>
  <c r="E648" i="1"/>
  <c r="F648" i="1"/>
  <c r="H648" i="1"/>
  <c r="G648" i="1"/>
  <c r="A649" i="1"/>
  <c r="B649" i="1"/>
  <c r="C649" i="1"/>
  <c r="E649" i="1"/>
  <c r="F649" i="1"/>
  <c r="H649" i="1"/>
  <c r="G649" i="1"/>
  <c r="A650" i="1"/>
  <c r="B650" i="1"/>
  <c r="C650" i="1"/>
  <c r="E650" i="1"/>
  <c r="F650" i="1"/>
  <c r="H650" i="1"/>
  <c r="G650" i="1"/>
  <c r="A651" i="1"/>
  <c r="B651" i="1"/>
  <c r="C651" i="1"/>
  <c r="E651" i="1"/>
  <c r="F651" i="1"/>
  <c r="H651" i="1"/>
  <c r="G651" i="1"/>
  <c r="A652" i="1"/>
  <c r="B652" i="1"/>
  <c r="C652" i="1"/>
  <c r="E652" i="1"/>
  <c r="F652" i="1"/>
  <c r="H652" i="1"/>
  <c r="G652" i="1"/>
  <c r="A653" i="1"/>
  <c r="B653" i="1"/>
  <c r="C653" i="1"/>
  <c r="E653" i="1"/>
  <c r="F653" i="1"/>
  <c r="H653" i="1"/>
  <c r="G653" i="1"/>
  <c r="A654" i="1"/>
  <c r="B654" i="1"/>
  <c r="C654" i="1"/>
  <c r="E654" i="1"/>
  <c r="F654" i="1"/>
  <c r="H654" i="1"/>
  <c r="G654" i="1"/>
  <c r="A655" i="1"/>
  <c r="B655" i="1"/>
  <c r="C655" i="1"/>
  <c r="E655" i="1"/>
  <c r="F655" i="1"/>
  <c r="H655" i="1"/>
  <c r="G655" i="1"/>
  <c r="A656" i="1"/>
  <c r="B656" i="1"/>
  <c r="C656" i="1"/>
  <c r="E656" i="1"/>
  <c r="F656" i="1"/>
  <c r="H656" i="1"/>
  <c r="G656" i="1"/>
  <c r="A657" i="1"/>
  <c r="B657" i="1"/>
  <c r="C657" i="1"/>
  <c r="E657" i="1"/>
  <c r="F657" i="1"/>
  <c r="H657" i="1"/>
  <c r="G657" i="1"/>
  <c r="A658" i="1"/>
  <c r="B658" i="1"/>
  <c r="C658" i="1"/>
  <c r="E658" i="1"/>
  <c r="F658" i="1"/>
  <c r="H658" i="1"/>
  <c r="G658" i="1"/>
  <c r="A659" i="1"/>
  <c r="B659" i="1"/>
  <c r="C659" i="1"/>
  <c r="E659" i="1"/>
  <c r="F659" i="1"/>
  <c r="H659" i="1"/>
  <c r="G659" i="1"/>
  <c r="A660" i="1"/>
  <c r="B660" i="1"/>
  <c r="C660" i="1"/>
  <c r="E660" i="1"/>
  <c r="F660" i="1"/>
  <c r="H660" i="1"/>
  <c r="G660" i="1"/>
  <c r="A661" i="1"/>
  <c r="B661" i="1"/>
  <c r="C661" i="1"/>
  <c r="E661" i="1"/>
  <c r="F661" i="1"/>
  <c r="H661" i="1"/>
  <c r="G661" i="1"/>
  <c r="A662" i="1"/>
  <c r="B662" i="1"/>
  <c r="C662" i="1"/>
  <c r="E662" i="1"/>
  <c r="F662" i="1"/>
  <c r="H662" i="1"/>
  <c r="G662" i="1"/>
  <c r="A663" i="1"/>
  <c r="B663" i="1"/>
  <c r="C663" i="1"/>
  <c r="E663" i="1"/>
  <c r="F663" i="1"/>
  <c r="H663" i="1"/>
  <c r="G663" i="1"/>
  <c r="A664" i="1"/>
  <c r="B664" i="1"/>
  <c r="C664" i="1"/>
  <c r="E664" i="1"/>
  <c r="F664" i="1"/>
  <c r="H664" i="1"/>
  <c r="G664" i="1"/>
  <c r="A665" i="1"/>
  <c r="B665" i="1"/>
  <c r="C665" i="1"/>
  <c r="E665" i="1"/>
  <c r="F665" i="1"/>
  <c r="H665" i="1"/>
  <c r="G665" i="1"/>
  <c r="A666" i="1"/>
  <c r="B666" i="1"/>
  <c r="C666" i="1"/>
  <c r="E666" i="1"/>
  <c r="F666" i="1"/>
  <c r="H666" i="1"/>
  <c r="G666" i="1"/>
  <c r="A667" i="1"/>
  <c r="B667" i="1"/>
  <c r="C667" i="1"/>
  <c r="E667" i="1"/>
  <c r="F667" i="1"/>
  <c r="H667" i="1"/>
  <c r="G667" i="1"/>
  <c r="A668" i="1"/>
  <c r="B668" i="1"/>
  <c r="C668" i="1"/>
  <c r="E668" i="1"/>
  <c r="F668" i="1"/>
  <c r="H668" i="1"/>
  <c r="G668" i="1"/>
  <c r="A669" i="1"/>
  <c r="B669" i="1"/>
  <c r="C669" i="1"/>
  <c r="E669" i="1"/>
  <c r="F669" i="1"/>
  <c r="H669" i="1"/>
  <c r="G669" i="1"/>
  <c r="A670" i="1"/>
  <c r="B670" i="1"/>
  <c r="C670" i="1"/>
  <c r="E670" i="1"/>
  <c r="F670" i="1"/>
  <c r="H670" i="1"/>
  <c r="G670" i="1"/>
  <c r="A671" i="1"/>
  <c r="B671" i="1"/>
  <c r="C671" i="1"/>
  <c r="E671" i="1"/>
  <c r="F671" i="1"/>
  <c r="H671" i="1"/>
  <c r="G671" i="1"/>
  <c r="A672" i="1"/>
  <c r="B672" i="1"/>
  <c r="C672" i="1"/>
  <c r="E672" i="1"/>
  <c r="F672" i="1"/>
  <c r="H672" i="1"/>
  <c r="G672" i="1"/>
  <c r="A673" i="1"/>
  <c r="B673" i="1"/>
  <c r="C673" i="1"/>
  <c r="E673" i="1"/>
  <c r="F673" i="1"/>
  <c r="H673" i="1"/>
  <c r="G673" i="1"/>
  <c r="A674" i="1"/>
  <c r="B674" i="1"/>
  <c r="C674" i="1"/>
  <c r="E674" i="1"/>
  <c r="F674" i="1"/>
  <c r="H674" i="1"/>
  <c r="G674" i="1"/>
  <c r="A675" i="1"/>
  <c r="B675" i="1"/>
  <c r="C675" i="1"/>
  <c r="E675" i="1"/>
  <c r="F675" i="1"/>
  <c r="H675" i="1"/>
  <c r="G675" i="1"/>
  <c r="A676" i="1"/>
  <c r="B676" i="1"/>
  <c r="C676" i="1"/>
  <c r="E676" i="1"/>
  <c r="F676" i="1"/>
  <c r="H676" i="1"/>
  <c r="G676" i="1"/>
  <c r="A677" i="1"/>
  <c r="B677" i="1"/>
  <c r="C677" i="1"/>
  <c r="E677" i="1"/>
  <c r="F677" i="1"/>
  <c r="H677" i="1"/>
  <c r="G677" i="1"/>
  <c r="A678" i="1"/>
  <c r="B678" i="1"/>
  <c r="C678" i="1"/>
  <c r="E678" i="1"/>
  <c r="F678" i="1"/>
  <c r="H678" i="1"/>
  <c r="G678" i="1"/>
  <c r="A679" i="1"/>
  <c r="B679" i="1"/>
  <c r="C679" i="1"/>
  <c r="E679" i="1"/>
  <c r="F679" i="1"/>
  <c r="H679" i="1"/>
  <c r="G679" i="1"/>
  <c r="A680" i="1"/>
  <c r="B680" i="1"/>
  <c r="C680" i="1"/>
  <c r="E680" i="1"/>
  <c r="F680" i="1"/>
  <c r="H680" i="1"/>
  <c r="G680" i="1"/>
  <c r="A681" i="1"/>
  <c r="B681" i="1"/>
  <c r="C681" i="1"/>
  <c r="E681" i="1"/>
  <c r="F681" i="1"/>
  <c r="H681" i="1"/>
  <c r="G681" i="1"/>
  <c r="A682" i="1"/>
  <c r="B682" i="1"/>
  <c r="C682" i="1"/>
  <c r="E682" i="1"/>
  <c r="F682" i="1"/>
  <c r="H682" i="1"/>
  <c r="G682" i="1"/>
  <c r="A683" i="1"/>
  <c r="B683" i="1"/>
  <c r="C683" i="1"/>
  <c r="E683" i="1"/>
  <c r="F683" i="1"/>
  <c r="H683" i="1"/>
  <c r="G683" i="1"/>
  <c r="A684" i="1"/>
  <c r="B684" i="1"/>
  <c r="C684" i="1"/>
  <c r="E684" i="1"/>
  <c r="F684" i="1"/>
  <c r="H684" i="1"/>
  <c r="G684" i="1"/>
  <c r="A685" i="1"/>
  <c r="B685" i="1"/>
  <c r="C685" i="1"/>
  <c r="E685" i="1"/>
  <c r="H685" i="1"/>
  <c r="G685" i="1"/>
  <c r="A686" i="1"/>
  <c r="B686" i="1"/>
  <c r="C686" i="1"/>
  <c r="E686" i="1"/>
  <c r="F686" i="1"/>
  <c r="H686" i="1"/>
  <c r="G686" i="1"/>
  <c r="A687" i="1"/>
  <c r="B687" i="1"/>
  <c r="C687" i="1"/>
  <c r="E687" i="1"/>
  <c r="F687" i="1"/>
  <c r="H687" i="1"/>
  <c r="G687" i="1"/>
  <c r="A688" i="1"/>
  <c r="B688" i="1"/>
  <c r="C688" i="1"/>
  <c r="E688" i="1"/>
  <c r="F688" i="1"/>
  <c r="H688" i="1"/>
  <c r="G688" i="1"/>
  <c r="A689" i="1"/>
  <c r="B689" i="1"/>
  <c r="C689" i="1"/>
  <c r="E689" i="1"/>
  <c r="F689" i="1"/>
  <c r="H689" i="1"/>
  <c r="G689" i="1"/>
  <c r="A690" i="1"/>
  <c r="B690" i="1"/>
  <c r="C690" i="1"/>
  <c r="E690" i="1"/>
  <c r="F690" i="1"/>
  <c r="H690" i="1"/>
  <c r="G690" i="1"/>
  <c r="A691" i="1"/>
  <c r="B691" i="1"/>
  <c r="C691" i="1"/>
  <c r="E691" i="1"/>
  <c r="F691" i="1"/>
  <c r="H691" i="1"/>
  <c r="G691" i="1"/>
  <c r="A692" i="1"/>
  <c r="B692" i="1"/>
  <c r="C692" i="1"/>
  <c r="E692" i="1"/>
  <c r="F692" i="1"/>
  <c r="H692" i="1"/>
  <c r="G692" i="1"/>
  <c r="A693" i="1"/>
  <c r="B693" i="1"/>
  <c r="C693" i="1"/>
  <c r="E693" i="1"/>
  <c r="F693" i="1"/>
  <c r="H693" i="1"/>
  <c r="G693" i="1"/>
  <c r="A694" i="1"/>
  <c r="B694" i="1"/>
  <c r="C694" i="1"/>
  <c r="E694" i="1"/>
  <c r="F694" i="1"/>
  <c r="H694" i="1"/>
  <c r="G694" i="1"/>
  <c r="A695" i="1"/>
  <c r="B695" i="1"/>
  <c r="C695" i="1"/>
  <c r="E695" i="1"/>
  <c r="H695" i="1"/>
  <c r="G695" i="1"/>
  <c r="A696" i="1"/>
  <c r="B696" i="1"/>
  <c r="C696" i="1"/>
  <c r="E696" i="1"/>
  <c r="H696" i="1"/>
  <c r="G696" i="1"/>
  <c r="A697" i="1"/>
  <c r="B697" i="1"/>
  <c r="C697" i="1"/>
  <c r="E697" i="1"/>
  <c r="F697" i="1"/>
  <c r="H697" i="1"/>
  <c r="G697" i="1"/>
  <c r="A698" i="1"/>
  <c r="B698" i="1"/>
  <c r="C698" i="1"/>
  <c r="E698" i="1"/>
  <c r="F698" i="1"/>
  <c r="H698" i="1"/>
  <c r="G698" i="1"/>
  <c r="A699" i="1"/>
  <c r="B699" i="1"/>
  <c r="C699" i="1"/>
  <c r="E699" i="1"/>
  <c r="H699" i="1"/>
  <c r="G699" i="1"/>
  <c r="A700" i="1"/>
  <c r="C700" i="1"/>
  <c r="E700" i="1"/>
  <c r="H700" i="1"/>
  <c r="G700" i="1"/>
  <c r="A701" i="1"/>
  <c r="B701" i="1"/>
  <c r="C701" i="1"/>
  <c r="E701" i="1"/>
  <c r="F701" i="1"/>
  <c r="H701" i="1"/>
  <c r="G701" i="1"/>
  <c r="A702" i="1"/>
  <c r="B702" i="1"/>
  <c r="C702" i="1"/>
  <c r="E702" i="1"/>
  <c r="F702" i="1"/>
  <c r="H702" i="1"/>
  <c r="G702" i="1"/>
  <c r="A703" i="1"/>
  <c r="B703" i="1"/>
  <c r="C703" i="1"/>
  <c r="E703" i="1"/>
  <c r="F703" i="1"/>
  <c r="H703" i="1"/>
  <c r="G703" i="1"/>
  <c r="A704" i="1"/>
  <c r="B704" i="1"/>
  <c r="C704" i="1"/>
  <c r="E704" i="1"/>
  <c r="F704" i="1"/>
  <c r="H704" i="1"/>
  <c r="G704" i="1"/>
  <c r="A705" i="1"/>
  <c r="B705" i="1"/>
  <c r="C705" i="1"/>
  <c r="E705" i="1"/>
  <c r="F705" i="1"/>
  <c r="H705" i="1"/>
  <c r="G705" i="1"/>
  <c r="A706" i="1"/>
  <c r="B706" i="1"/>
  <c r="C706" i="1"/>
  <c r="E706" i="1"/>
  <c r="F706" i="1"/>
  <c r="H706" i="1"/>
  <c r="G706" i="1"/>
  <c r="A707" i="1"/>
  <c r="B707" i="1"/>
  <c r="C707" i="1"/>
  <c r="E707" i="1"/>
  <c r="F707" i="1"/>
  <c r="H707" i="1"/>
  <c r="G707" i="1"/>
  <c r="A708" i="1"/>
  <c r="B708" i="1"/>
  <c r="C708" i="1"/>
  <c r="E708" i="1"/>
  <c r="F708" i="1"/>
  <c r="H708" i="1"/>
  <c r="G708" i="1"/>
  <c r="A709" i="1"/>
  <c r="B709" i="1"/>
  <c r="C709" i="1"/>
  <c r="E709" i="1"/>
  <c r="F709" i="1"/>
  <c r="H709" i="1"/>
  <c r="G709" i="1"/>
  <c r="A710" i="1"/>
  <c r="B710" i="1"/>
  <c r="C710" i="1"/>
  <c r="E710" i="1"/>
  <c r="F710" i="1"/>
  <c r="H710" i="1"/>
  <c r="G710" i="1"/>
  <c r="A711" i="1"/>
  <c r="B711" i="1"/>
  <c r="C711" i="1"/>
  <c r="E711" i="1"/>
  <c r="F711" i="1"/>
  <c r="H711" i="1"/>
  <c r="G711" i="1"/>
  <c r="A712" i="1"/>
  <c r="B712" i="1"/>
  <c r="C712" i="1"/>
  <c r="E712" i="1"/>
  <c r="F712" i="1"/>
  <c r="H712" i="1"/>
  <c r="G712" i="1"/>
  <c r="A713" i="1"/>
  <c r="B713" i="1"/>
  <c r="C713" i="1"/>
  <c r="E713" i="1"/>
  <c r="F713" i="1"/>
  <c r="H713" i="1"/>
  <c r="G713" i="1"/>
  <c r="A714" i="1"/>
  <c r="B714" i="1"/>
  <c r="C714" i="1"/>
  <c r="E714" i="1"/>
  <c r="F714" i="1"/>
  <c r="H714" i="1"/>
  <c r="G714" i="1"/>
  <c r="A715" i="1"/>
  <c r="B715" i="1"/>
  <c r="C715" i="1"/>
  <c r="E715" i="1"/>
  <c r="F715" i="1"/>
  <c r="H715" i="1"/>
  <c r="G715" i="1"/>
  <c r="A716" i="1"/>
  <c r="B716" i="1"/>
  <c r="C716" i="1"/>
  <c r="E716" i="1"/>
  <c r="F716" i="1"/>
  <c r="H716" i="1"/>
  <c r="G716" i="1"/>
  <c r="A717" i="1"/>
  <c r="B717" i="1"/>
  <c r="C717" i="1"/>
  <c r="E717" i="1"/>
  <c r="F717" i="1"/>
  <c r="H717" i="1"/>
  <c r="G717" i="1"/>
  <c r="A718" i="1"/>
  <c r="B718" i="1"/>
  <c r="C718" i="1"/>
  <c r="E718" i="1"/>
  <c r="F718" i="1"/>
  <c r="H718" i="1"/>
  <c r="G718" i="1"/>
  <c r="A719" i="1"/>
  <c r="B719" i="1"/>
  <c r="C719" i="1"/>
  <c r="E719" i="1"/>
  <c r="F719" i="1"/>
  <c r="H719" i="1"/>
  <c r="G719" i="1"/>
  <c r="A720" i="1"/>
  <c r="B720" i="1"/>
  <c r="C720" i="1"/>
  <c r="E720" i="1"/>
  <c r="F720" i="1"/>
  <c r="H720" i="1"/>
  <c r="G720" i="1"/>
  <c r="A721" i="1"/>
  <c r="B721" i="1"/>
  <c r="C721" i="1"/>
  <c r="E721" i="1"/>
  <c r="F721" i="1"/>
  <c r="H721" i="1"/>
  <c r="G721" i="1"/>
  <c r="A722" i="1"/>
  <c r="B722" i="1"/>
  <c r="C722" i="1"/>
  <c r="E722" i="1"/>
  <c r="F722" i="1"/>
  <c r="H722" i="1"/>
  <c r="G722" i="1"/>
  <c r="A723" i="1"/>
  <c r="B723" i="1"/>
  <c r="C723" i="1"/>
  <c r="E723" i="1"/>
  <c r="F723" i="1"/>
  <c r="H723" i="1"/>
  <c r="G723" i="1"/>
  <c r="A724" i="1"/>
  <c r="B724" i="1"/>
  <c r="C724" i="1"/>
  <c r="E724" i="1"/>
  <c r="F724" i="1"/>
  <c r="H724" i="1"/>
  <c r="G724" i="1"/>
  <c r="A725" i="1"/>
  <c r="B725" i="1"/>
  <c r="C725" i="1"/>
  <c r="E725" i="1"/>
  <c r="F725" i="1"/>
  <c r="H725" i="1"/>
  <c r="G725" i="1"/>
  <c r="A726" i="1"/>
  <c r="B726" i="1"/>
  <c r="C726" i="1"/>
  <c r="E726" i="1"/>
  <c r="F726" i="1"/>
  <c r="H726" i="1"/>
  <c r="G726" i="1"/>
  <c r="A727" i="1"/>
  <c r="B727" i="1"/>
  <c r="C727" i="1"/>
  <c r="E727" i="1"/>
  <c r="F727" i="1"/>
  <c r="H727" i="1"/>
  <c r="G727" i="1"/>
  <c r="A728" i="1"/>
  <c r="B728" i="1"/>
  <c r="C728" i="1"/>
  <c r="E728" i="1"/>
  <c r="F728" i="1"/>
  <c r="H728" i="1"/>
  <c r="G728" i="1"/>
  <c r="A729" i="1"/>
  <c r="B729" i="1"/>
  <c r="C729" i="1"/>
  <c r="E729" i="1"/>
  <c r="F729" i="1"/>
  <c r="H729" i="1"/>
  <c r="G729" i="1"/>
  <c r="A730" i="1"/>
  <c r="B730" i="1"/>
  <c r="C730" i="1"/>
  <c r="E730" i="1"/>
  <c r="F730" i="1"/>
  <c r="H730" i="1"/>
  <c r="G730" i="1"/>
  <c r="A731" i="1"/>
  <c r="B731" i="1"/>
  <c r="C731" i="1"/>
  <c r="E731" i="1"/>
  <c r="F731" i="1"/>
  <c r="H731" i="1"/>
  <c r="G731" i="1"/>
  <c r="A732" i="1"/>
  <c r="B732" i="1"/>
  <c r="C732" i="1"/>
  <c r="E732" i="1"/>
  <c r="F732" i="1"/>
  <c r="H732" i="1"/>
  <c r="G732" i="1"/>
  <c r="A733" i="1"/>
  <c r="B733" i="1"/>
  <c r="C733" i="1"/>
  <c r="E733" i="1"/>
  <c r="F733" i="1"/>
  <c r="H733" i="1"/>
  <c r="G733" i="1"/>
  <c r="A734" i="1"/>
  <c r="B734" i="1"/>
  <c r="C734" i="1"/>
  <c r="E734" i="1"/>
  <c r="F734" i="1"/>
  <c r="H734" i="1"/>
  <c r="G734" i="1"/>
  <c r="A735" i="1"/>
  <c r="B735" i="1"/>
  <c r="C735" i="1"/>
  <c r="E735" i="1"/>
  <c r="F735" i="1"/>
  <c r="H735" i="1"/>
  <c r="G735" i="1"/>
  <c r="A736" i="1"/>
  <c r="B736" i="1"/>
  <c r="C736" i="1"/>
  <c r="E736" i="1"/>
  <c r="F736" i="1"/>
  <c r="H736" i="1"/>
  <c r="G736" i="1"/>
  <c r="A737" i="1"/>
  <c r="B737" i="1"/>
  <c r="C737" i="1"/>
  <c r="E737" i="1"/>
  <c r="F737" i="1"/>
  <c r="H737" i="1"/>
  <c r="G737" i="1"/>
  <c r="A738" i="1"/>
  <c r="B738" i="1"/>
  <c r="C738" i="1"/>
  <c r="E738" i="1"/>
  <c r="F738" i="1"/>
  <c r="H738" i="1"/>
  <c r="G738" i="1"/>
  <c r="A739" i="1"/>
  <c r="B739" i="1"/>
  <c r="C739" i="1"/>
  <c r="E739" i="1"/>
  <c r="F739" i="1"/>
  <c r="H739" i="1"/>
  <c r="G739" i="1"/>
  <c r="A740" i="1"/>
  <c r="B740" i="1"/>
  <c r="C740" i="1"/>
  <c r="E740" i="1"/>
  <c r="F740" i="1"/>
  <c r="H740" i="1"/>
  <c r="G740" i="1"/>
  <c r="A741" i="1"/>
  <c r="B741" i="1"/>
  <c r="C741" i="1"/>
  <c r="E741" i="1"/>
  <c r="F741" i="1"/>
  <c r="H741" i="1"/>
  <c r="G741" i="1"/>
  <c r="A742" i="1"/>
  <c r="B742" i="1"/>
  <c r="C742" i="1"/>
  <c r="E742" i="1"/>
  <c r="F742" i="1"/>
  <c r="H742" i="1"/>
  <c r="G742" i="1"/>
  <c r="A743" i="1"/>
  <c r="B743" i="1"/>
  <c r="C743" i="1"/>
  <c r="E743" i="1"/>
  <c r="F743" i="1"/>
  <c r="H743" i="1"/>
  <c r="G743" i="1"/>
  <c r="A744" i="1"/>
  <c r="B744" i="1"/>
  <c r="C744" i="1"/>
  <c r="E744" i="1"/>
  <c r="F744" i="1"/>
  <c r="H744" i="1"/>
  <c r="G744" i="1"/>
  <c r="A745" i="1"/>
  <c r="B745" i="1"/>
  <c r="C745" i="1"/>
  <c r="E745" i="1"/>
  <c r="F745" i="1"/>
  <c r="H745" i="1"/>
  <c r="G745" i="1"/>
  <c r="A746" i="1"/>
  <c r="B746" i="1"/>
  <c r="C746" i="1"/>
  <c r="E746" i="1"/>
  <c r="F746" i="1"/>
  <c r="H746" i="1"/>
  <c r="G746" i="1"/>
  <c r="A747" i="1"/>
  <c r="B747" i="1"/>
  <c r="C747" i="1"/>
  <c r="E747" i="1"/>
  <c r="F747" i="1"/>
  <c r="H747" i="1"/>
  <c r="G747" i="1"/>
  <c r="A748" i="1"/>
  <c r="B748" i="1"/>
  <c r="C748" i="1"/>
  <c r="E748" i="1"/>
  <c r="F748" i="1"/>
  <c r="H748" i="1"/>
  <c r="G748" i="1"/>
  <c r="A749" i="1"/>
  <c r="B749" i="1"/>
  <c r="C749" i="1"/>
  <c r="E749" i="1"/>
  <c r="F749" i="1"/>
  <c r="H749" i="1"/>
  <c r="G749" i="1"/>
  <c r="A750" i="1"/>
  <c r="B750" i="1"/>
  <c r="C750" i="1"/>
  <c r="E750" i="1"/>
  <c r="F750" i="1"/>
  <c r="H750" i="1"/>
  <c r="G750" i="1"/>
  <c r="A751" i="1"/>
  <c r="B751" i="1"/>
  <c r="C751" i="1"/>
  <c r="E751" i="1"/>
  <c r="F751" i="1"/>
  <c r="H751" i="1"/>
  <c r="G751" i="1"/>
  <c r="A752" i="1"/>
  <c r="B752" i="1"/>
  <c r="C752" i="1"/>
  <c r="E752" i="1"/>
  <c r="F752" i="1"/>
  <c r="H752" i="1"/>
  <c r="G752" i="1"/>
  <c r="A753" i="1"/>
  <c r="B753" i="1"/>
  <c r="C753" i="1"/>
  <c r="E753" i="1"/>
  <c r="F753" i="1"/>
  <c r="H753" i="1"/>
  <c r="G753" i="1"/>
  <c r="A754" i="1"/>
  <c r="B754" i="1"/>
  <c r="C754" i="1"/>
  <c r="E754" i="1"/>
  <c r="F754" i="1"/>
  <c r="H754" i="1"/>
  <c r="G754" i="1"/>
  <c r="A755" i="1"/>
  <c r="B755" i="1"/>
  <c r="C755" i="1"/>
  <c r="E755" i="1"/>
  <c r="F755" i="1"/>
  <c r="H755" i="1"/>
  <c r="G755" i="1"/>
  <c r="A756" i="1"/>
  <c r="B756" i="1"/>
  <c r="C756" i="1"/>
  <c r="E756" i="1"/>
  <c r="F756" i="1"/>
  <c r="H756" i="1"/>
  <c r="G756" i="1"/>
  <c r="A757" i="1"/>
  <c r="B757" i="1"/>
  <c r="C757" i="1"/>
  <c r="E757" i="1"/>
  <c r="F757" i="1"/>
  <c r="H757" i="1"/>
  <c r="G757" i="1"/>
  <c r="A758" i="1"/>
  <c r="B758" i="1"/>
  <c r="C758" i="1"/>
  <c r="E758" i="1"/>
  <c r="F758" i="1"/>
  <c r="H758" i="1"/>
  <c r="G758" i="1"/>
  <c r="A759" i="1"/>
  <c r="B759" i="1"/>
  <c r="C759" i="1"/>
  <c r="E759" i="1"/>
  <c r="F759" i="1"/>
  <c r="H759" i="1"/>
  <c r="G759" i="1"/>
  <c r="A760" i="1"/>
  <c r="B760" i="1"/>
  <c r="C760" i="1"/>
  <c r="E760" i="1"/>
  <c r="F760" i="1"/>
  <c r="H760" i="1"/>
  <c r="G760" i="1"/>
  <c r="A761" i="1"/>
  <c r="B761" i="1"/>
  <c r="C761" i="1"/>
  <c r="E761" i="1"/>
  <c r="F761" i="1"/>
  <c r="H761" i="1"/>
  <c r="G761" i="1"/>
  <c r="A762" i="1"/>
  <c r="B762" i="1"/>
  <c r="C762" i="1"/>
  <c r="E762" i="1"/>
  <c r="F762" i="1"/>
  <c r="H762" i="1"/>
  <c r="G762" i="1"/>
  <c r="A763" i="1"/>
  <c r="B763" i="1"/>
  <c r="C763" i="1"/>
  <c r="E763" i="1"/>
  <c r="F763" i="1"/>
  <c r="H763" i="1"/>
  <c r="G763" i="1"/>
  <c r="A764" i="1"/>
  <c r="B764" i="1"/>
  <c r="C764" i="1"/>
  <c r="E764" i="1"/>
  <c r="F764" i="1"/>
  <c r="H764" i="1"/>
  <c r="G764" i="1"/>
  <c r="A765" i="1"/>
  <c r="B765" i="1"/>
  <c r="C765" i="1"/>
  <c r="E765" i="1"/>
  <c r="F765" i="1"/>
  <c r="H765" i="1"/>
  <c r="G765" i="1"/>
  <c r="A766" i="1"/>
  <c r="B766" i="1"/>
  <c r="C766" i="1"/>
  <c r="E766" i="1"/>
  <c r="F766" i="1"/>
  <c r="H766" i="1"/>
  <c r="G766" i="1"/>
  <c r="A767" i="1"/>
  <c r="B767" i="1"/>
  <c r="C767" i="1"/>
  <c r="E767" i="1"/>
  <c r="F767" i="1"/>
  <c r="H767" i="1"/>
  <c r="G767" i="1"/>
  <c r="A768" i="1"/>
  <c r="B768" i="1"/>
  <c r="C768" i="1"/>
  <c r="E768" i="1"/>
  <c r="F768" i="1"/>
  <c r="H768" i="1"/>
  <c r="G768" i="1"/>
  <c r="A769" i="1"/>
  <c r="B769" i="1"/>
  <c r="C769" i="1"/>
  <c r="E769" i="1"/>
  <c r="F769" i="1"/>
  <c r="H769" i="1"/>
  <c r="G769" i="1"/>
  <c r="A770" i="1"/>
  <c r="B770" i="1"/>
  <c r="C770" i="1"/>
  <c r="E770" i="1"/>
  <c r="F770" i="1"/>
  <c r="H770" i="1"/>
  <c r="G770" i="1"/>
  <c r="A771" i="1"/>
  <c r="B771" i="1"/>
  <c r="C771" i="1"/>
  <c r="E771" i="1"/>
  <c r="F771" i="1"/>
  <c r="H771" i="1"/>
  <c r="G771" i="1"/>
  <c r="A772" i="1"/>
  <c r="B772" i="1"/>
  <c r="C772" i="1"/>
  <c r="E772" i="1"/>
  <c r="F772" i="1"/>
  <c r="H772" i="1"/>
  <c r="G772" i="1"/>
  <c r="A773" i="1"/>
  <c r="B773" i="1"/>
  <c r="C773" i="1"/>
  <c r="E773" i="1"/>
  <c r="F773" i="1"/>
  <c r="H773" i="1"/>
  <c r="G773" i="1"/>
  <c r="A774" i="1"/>
  <c r="B774" i="1"/>
  <c r="C774" i="1"/>
  <c r="E774" i="1"/>
  <c r="F774" i="1"/>
  <c r="H774" i="1"/>
  <c r="G774" i="1"/>
  <c r="A775" i="1"/>
  <c r="B775" i="1"/>
  <c r="C775" i="1"/>
  <c r="E775" i="1"/>
  <c r="F775" i="1"/>
  <c r="H775" i="1"/>
  <c r="G775" i="1"/>
  <c r="A776" i="1"/>
  <c r="B776" i="1"/>
  <c r="C776" i="1"/>
  <c r="E776" i="1"/>
  <c r="F776" i="1"/>
  <c r="H776" i="1"/>
  <c r="G776" i="1"/>
  <c r="A777" i="1"/>
  <c r="B777" i="1"/>
  <c r="C777" i="1"/>
  <c r="E777" i="1"/>
  <c r="F777" i="1"/>
  <c r="H777" i="1"/>
  <c r="G777" i="1"/>
  <c r="A778" i="1"/>
  <c r="B778" i="1"/>
  <c r="C778" i="1"/>
  <c r="E778" i="1"/>
  <c r="F778" i="1"/>
  <c r="H778" i="1"/>
  <c r="G778" i="1"/>
  <c r="A779" i="1"/>
  <c r="B779" i="1"/>
  <c r="C779" i="1"/>
  <c r="E779" i="1"/>
  <c r="F779" i="1"/>
  <c r="H779" i="1"/>
  <c r="G779" i="1"/>
  <c r="A780" i="1"/>
  <c r="B780" i="1"/>
  <c r="C780" i="1"/>
  <c r="E780" i="1"/>
  <c r="F780" i="1"/>
  <c r="H780" i="1"/>
  <c r="G780" i="1"/>
  <c r="A781" i="1"/>
  <c r="B781" i="1"/>
  <c r="C781" i="1"/>
  <c r="E781" i="1"/>
  <c r="F781" i="1"/>
  <c r="H781" i="1"/>
  <c r="G781" i="1"/>
  <c r="A782" i="1"/>
  <c r="B782" i="1"/>
  <c r="C782" i="1"/>
  <c r="E782" i="1"/>
  <c r="F782" i="1"/>
  <c r="H782" i="1"/>
  <c r="G782" i="1"/>
  <c r="A783" i="1"/>
  <c r="B783" i="1"/>
  <c r="C783" i="1"/>
  <c r="E783" i="1"/>
  <c r="F783" i="1"/>
  <c r="H783" i="1"/>
  <c r="G783" i="1"/>
  <c r="A784" i="1"/>
  <c r="B784" i="1"/>
  <c r="C784" i="1"/>
  <c r="E784" i="1"/>
  <c r="F784" i="1"/>
  <c r="H784" i="1"/>
  <c r="G784" i="1"/>
  <c r="A785" i="1"/>
  <c r="B785" i="1"/>
  <c r="C785" i="1"/>
  <c r="E785" i="1"/>
  <c r="F785" i="1"/>
  <c r="H785" i="1"/>
  <c r="G785" i="1"/>
  <c r="B786" i="1"/>
  <c r="C786" i="1"/>
  <c r="E786" i="1"/>
  <c r="H786" i="1"/>
  <c r="G786" i="1"/>
  <c r="A787" i="1"/>
  <c r="B787" i="1"/>
  <c r="C787" i="1"/>
  <c r="E787" i="1"/>
  <c r="F787" i="1"/>
  <c r="H787" i="1"/>
  <c r="G787" i="1"/>
  <c r="A788" i="1"/>
  <c r="B788" i="1"/>
  <c r="C788" i="1"/>
  <c r="E788" i="1"/>
  <c r="F788" i="1"/>
  <c r="H788" i="1"/>
  <c r="G788" i="1"/>
  <c r="A789" i="1"/>
  <c r="B789" i="1"/>
  <c r="C789" i="1"/>
  <c r="E789" i="1"/>
  <c r="F789" i="1"/>
  <c r="H789" i="1"/>
  <c r="G789" i="1"/>
  <c r="A790" i="1"/>
  <c r="B790" i="1"/>
  <c r="C790" i="1"/>
  <c r="E790" i="1"/>
  <c r="F790" i="1"/>
  <c r="H790" i="1"/>
  <c r="G790" i="1"/>
  <c r="A791" i="1"/>
  <c r="B791" i="1"/>
  <c r="C791" i="1"/>
  <c r="E791" i="1"/>
  <c r="F791" i="1"/>
  <c r="H791" i="1"/>
  <c r="G791" i="1"/>
  <c r="A792" i="1"/>
  <c r="B792" i="1"/>
  <c r="C792" i="1"/>
  <c r="E792" i="1"/>
  <c r="F792" i="1"/>
  <c r="H792" i="1"/>
  <c r="G792" i="1"/>
  <c r="A793" i="1"/>
  <c r="B793" i="1"/>
  <c r="C793" i="1"/>
  <c r="E793" i="1"/>
  <c r="F793" i="1"/>
  <c r="H793" i="1"/>
  <c r="G793" i="1"/>
  <c r="A794" i="1"/>
  <c r="B794" i="1"/>
  <c r="C794" i="1"/>
  <c r="E794" i="1"/>
  <c r="F794" i="1"/>
  <c r="H794" i="1"/>
  <c r="G794" i="1"/>
  <c r="A795" i="1"/>
  <c r="B795" i="1"/>
  <c r="C795" i="1"/>
  <c r="E795" i="1"/>
  <c r="F795" i="1"/>
  <c r="H795" i="1"/>
  <c r="G795" i="1"/>
  <c r="A796" i="1"/>
  <c r="B796" i="1"/>
  <c r="C796" i="1"/>
  <c r="E796" i="1"/>
  <c r="F796" i="1"/>
  <c r="H796" i="1"/>
  <c r="G796" i="1"/>
  <c r="A797" i="1"/>
  <c r="B797" i="1"/>
  <c r="C797" i="1"/>
  <c r="E797" i="1"/>
  <c r="F797" i="1"/>
  <c r="H797" i="1"/>
  <c r="G797" i="1"/>
  <c r="A798" i="1"/>
  <c r="B798" i="1"/>
  <c r="C798" i="1"/>
  <c r="E798" i="1"/>
  <c r="F798" i="1"/>
  <c r="H798" i="1"/>
  <c r="G798" i="1"/>
  <c r="A799" i="1"/>
  <c r="B799" i="1"/>
  <c r="C799" i="1"/>
  <c r="E799" i="1"/>
  <c r="F799" i="1"/>
  <c r="H799" i="1"/>
  <c r="G799" i="1"/>
  <c r="A800" i="1"/>
  <c r="B800" i="1"/>
  <c r="C800" i="1"/>
  <c r="E800" i="1"/>
  <c r="F800" i="1"/>
  <c r="H800" i="1"/>
  <c r="G800" i="1"/>
  <c r="A801" i="1"/>
  <c r="B801" i="1"/>
  <c r="C801" i="1"/>
  <c r="E801" i="1"/>
  <c r="F801" i="1"/>
  <c r="H801" i="1"/>
  <c r="G801" i="1"/>
  <c r="A802" i="1"/>
  <c r="B802" i="1"/>
  <c r="C802" i="1"/>
  <c r="E802" i="1"/>
  <c r="F802" i="1"/>
  <c r="H802" i="1"/>
  <c r="G802" i="1"/>
  <c r="A803" i="1"/>
  <c r="B803" i="1"/>
  <c r="C803" i="1"/>
  <c r="E803" i="1"/>
  <c r="F803" i="1"/>
  <c r="H803" i="1"/>
  <c r="G803" i="1"/>
  <c r="A804" i="1"/>
  <c r="B804" i="1"/>
  <c r="C804" i="1"/>
  <c r="E804" i="1"/>
  <c r="F804" i="1"/>
  <c r="H804" i="1"/>
  <c r="G804" i="1"/>
  <c r="A805" i="1"/>
  <c r="B805" i="1"/>
  <c r="C805" i="1"/>
  <c r="E805" i="1"/>
  <c r="F805" i="1"/>
  <c r="H805" i="1"/>
  <c r="G805" i="1"/>
  <c r="A806" i="1"/>
  <c r="B806" i="1"/>
  <c r="C806" i="1"/>
  <c r="E806" i="1"/>
  <c r="F806" i="1"/>
  <c r="H806" i="1"/>
  <c r="G806" i="1"/>
</calcChain>
</file>

<file path=xl/sharedStrings.xml><?xml version="1.0" encoding="utf-8"?>
<sst xmlns="http://schemas.openxmlformats.org/spreadsheetml/2006/main" count="960" uniqueCount="933">
  <si>
    <t>施設名称</t>
  </si>
  <si>
    <t>開設状況</t>
  </si>
  <si>
    <t>総病床数</t>
  </si>
  <si>
    <t>診療所(一般病床数)</t>
  </si>
  <si>
    <t>療養病床数</t>
  </si>
  <si>
    <t>内科</t>
  </si>
  <si>
    <t>心療内科</t>
  </si>
  <si>
    <t>精神科</t>
  </si>
  <si>
    <t>神経科</t>
  </si>
  <si>
    <t>神経内科</t>
  </si>
  <si>
    <t>呼吸器科</t>
  </si>
  <si>
    <t>消化器科</t>
  </si>
  <si>
    <t>胃腸科</t>
  </si>
  <si>
    <t>循環器科</t>
  </si>
  <si>
    <t>アレルギー科</t>
  </si>
  <si>
    <t>リウマチ科</t>
  </si>
  <si>
    <t>小児科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</si>
  <si>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</si>
  <si>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</si>
  <si>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</si>
  <si>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</si>
  <si>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</si>
  <si>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</si>
  <si>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</si>
  <si>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</si>
  <si>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性病科</t>
  </si>
  <si>
    <t>こう門科</t>
  </si>
  <si>
    <t>皮膚泌尿器科</t>
  </si>
  <si>
    <t>皮膚科</t>
  </si>
  <si>
    <t>泌尿器科</t>
  </si>
  <si>
    <t>産婦人科</t>
  </si>
  <si>
    <t>産科</t>
  </si>
  <si>
    <t>婦人科</t>
  </si>
  <si>
    <t>眼科</t>
  </si>
  <si>
    <t>耳鼻いんこう科</t>
  </si>
  <si>
    <t>気管食道科</t>
  </si>
  <si>
    <t>リハビリテーション科</t>
  </si>
  <si>
    <t>放射線科</t>
  </si>
  <si>
    <t>歯科</t>
  </si>
  <si>
    <t>矯正歯科</t>
  </si>
  <si>
    <t>小児歯科</t>
  </si>
  <si>
    <t>歯科口腔外科</t>
  </si>
  <si>
    <t>麻酔科</t>
  </si>
  <si>
    <t>その他</t>
  </si>
  <si>
    <t>心臓リハビリテーション科、循環器内科</t>
  </si>
  <si>
    <t>脳神経内科</t>
  </si>
  <si>
    <t>胃腸内科</t>
  </si>
  <si>
    <t>人工透析内科、美容皮膚科、循環器内科</t>
  </si>
  <si>
    <t>脳神経内科、循環器内科</t>
  </si>
  <si>
    <t>人工透析内科</t>
  </si>
  <si>
    <t>循環器内科、人工透析内科</t>
  </si>
  <si>
    <t>消化器内科、呼吸器内科</t>
  </si>
  <si>
    <t>循環器内科、消化器内科</t>
  </si>
  <si>
    <t>呼吸器内科</t>
  </si>
  <si>
    <t>漢方内科</t>
  </si>
  <si>
    <t>呼吸器内科、緩和ケア内科</t>
  </si>
  <si>
    <t>糖尿病内科、内分泌内科（甲状腺）</t>
  </si>
  <si>
    <t>内分泌内科</t>
  </si>
  <si>
    <t>脳神経内科、老年内科、消化器内科</t>
  </si>
  <si>
    <t>呼吸器内科、循環器内科、糖尿病内科、脂質代謝内科</t>
  </si>
  <si>
    <t>消化器内科、こう門外科、呼吸器内科</t>
  </si>
  <si>
    <t>循環器内科</t>
  </si>
  <si>
    <t>消化器内科</t>
  </si>
  <si>
    <t>腫瘍内科、胃腸内科、乳腺内科、循環器内科</t>
  </si>
  <si>
    <t>呼吸器内科、脳神経内科</t>
  </si>
  <si>
    <t>美容皮膚科</t>
  </si>
  <si>
    <t>美容皮膚科、小児皮膚科</t>
  </si>
  <si>
    <t>循環器内科、心臓血管内科</t>
  </si>
  <si>
    <t>呼吸器内科、消化器内科、循環器内科</t>
  </si>
  <si>
    <t>心臓血管内科</t>
  </si>
  <si>
    <t>神経内科、呼吸器内科、消化器内科、循環器内科</t>
  </si>
  <si>
    <t>乳腺内科、甲状腺内科</t>
  </si>
  <si>
    <t>小児眼科</t>
  </si>
  <si>
    <t>ペインクリニック内科、ペインクリニック外科</t>
  </si>
  <si>
    <t>="特別養護老人ホーム　そよ風の里”ほたる”"</t>
  </si>
  <si>
    <t>消化器内科、内視鏡内科、肛門内科、胃腸内科</t>
  </si>
  <si>
    <t>胃腸内科、消化器内科、循環器内科</t>
  </si>
  <si>
    <t>肛門外科</t>
  </si>
  <si>
    <t>腎臓内科</t>
  </si>
  <si>
    <t>小児皮膚科</t>
  </si>
  <si>
    <t>胃腸内科、大腸・肛門内科、消化器内科、内視鏡内科</t>
  </si>
  <si>
    <t>消化器内科、循環器内科、糖尿病内科</t>
  </si>
  <si>
    <t>胃腸内科、内視鏡内科、消化器内科、呼吸器内科、循環器内科、糖尿病内科、脂質代謝内科</t>
  </si>
  <si>
    <t>糖尿病内科、内分泌内科、循環器内科</t>
  </si>
  <si>
    <t>胃腸外科</t>
  </si>
  <si>
    <t>循環器内科、心臓・血管内科</t>
  </si>
  <si>
    <t>糖尿病内科</t>
  </si>
  <si>
    <t>糖尿病内科、代謝・内分泌内科</t>
  </si>
  <si>
    <t>呼吸器内科、小児アレルギー科</t>
  </si>
  <si>
    <t>胃腸内科、消化器内科、循環器内科、呼吸器内科</t>
  </si>
  <si>
    <t>循環器内科、小児皮膚科、美容皮膚科</t>
  </si>
  <si>
    <t>脂質代謝内科</t>
  </si>
  <si>
    <t>胃腸内科、循環器内科</t>
  </si>
  <si>
    <t>内科・透析科</t>
  </si>
  <si>
    <t>消化器内科、内視鏡内科、胃腸内科</t>
  </si>
  <si>
    <t>消化器内科、循環器内科</t>
  </si>
  <si>
    <t>ペインクリニック整形外科</t>
  </si>
  <si>
    <t>呼吸器内科、消化器内科</t>
  </si>
  <si>
    <t>消化器内科、乳腺外科</t>
  </si>
  <si>
    <t>リウマチ内科、脳神経内科</t>
  </si>
  <si>
    <t>漢方小児科、心療小児科</t>
  </si>
  <si>
    <t>疼痛緩和内科、がん内科、消化器内科</t>
  </si>
  <si>
    <t>呼吸器内科、循環器内科、消化器内科、胃腸内科</t>
  </si>
  <si>
    <t>腎臓内科、人工透析内科</t>
  </si>
  <si>
    <t>循環器内科、代謝内科</t>
  </si>
  <si>
    <t>理学療法科</t>
  </si>
  <si>
    <t>消化器内科、こう門外科</t>
  </si>
  <si>
    <t>糖尿病・代謝内科</t>
  </si>
  <si>
    <t>緩和ケア内科、緩和ケア外科</t>
  </si>
  <si>
    <t>循環器内科、糖尿病内科</t>
  </si>
  <si>
    <t>代謝内科、糖尿病・内分泌内科</t>
  </si>
  <si>
    <t>小児耳鼻咽喉科</t>
  </si>
  <si>
    <t>呼吸器科、胃腸科、循環器科</t>
  </si>
  <si>
    <t>呼吸器内科、脳神経内科、消化器内科、循環器内科</t>
  </si>
  <si>
    <t>消化器内科、食道・胃腸内科、糖尿病・脂質代謝内科、循環器内科、感染症内科、がん・疼痛緩和内科、ペインクリニック内科、呼吸器内科、がん治療内科</t>
  </si>
  <si>
    <t>人工透析内科、消化器内科</t>
  </si>
  <si>
    <t>循環器内科、呼吸器内科、糖尿病内科</t>
  </si>
  <si>
    <t>糖尿病内科、呼吸器内科、消化器内科</t>
  </si>
  <si>
    <t>消化器外科、代謝内科、循環器内科</t>
  </si>
  <si>
    <t>山鹿市山鹿３４３</t>
  </si>
  <si>
    <t>山鹿市熊入町３１５</t>
  </si>
  <si>
    <t>山鹿市昭和町４０８</t>
  </si>
  <si>
    <t>山鹿市津留２００６－１</t>
  </si>
  <si>
    <t>山鹿市山鹿１３２６－１</t>
  </si>
  <si>
    <t>山鹿市山鹿１４０８－４</t>
  </si>
  <si>
    <t>山鹿市津留２０２２</t>
  </si>
  <si>
    <t>山鹿市山鹿１４７８－２</t>
  </si>
  <si>
    <t>山鹿市津留２０２７</t>
  </si>
  <si>
    <t>山鹿市鍋田１８８８－１</t>
  </si>
  <si>
    <t>山鹿市熊入町１２３―３</t>
  </si>
  <si>
    <t>山鹿市昭和町６０５</t>
  </si>
  <si>
    <t>山鹿市方保田３１４２</t>
  </si>
  <si>
    <t>山鹿市鹿北町四丁１７０５</t>
  </si>
  <si>
    <t>山鹿市鹿北町岩野５４９７－２</t>
  </si>
  <si>
    <t>山鹿市菊鹿町宮原８６－４</t>
  </si>
  <si>
    <t>山鹿市菊鹿町長５０２番地</t>
  </si>
  <si>
    <t>山鹿市鹿本町御宇田６５０</t>
  </si>
  <si>
    <t>山鹿市鹿本町来民６９３</t>
  </si>
  <si>
    <t>山鹿市鹿本町津袋４５０</t>
  </si>
  <si>
    <t>山鹿市鹿本町津袋４４３</t>
  </si>
  <si>
    <t>山鹿市鹿本町御宇田４４６番地</t>
  </si>
  <si>
    <t>山鹿市鹿本町御宇田７２２－１</t>
  </si>
  <si>
    <t>山鹿市鹿本町来民４９５－１</t>
  </si>
  <si>
    <t>山鹿市鹿央町合里１０３９</t>
  </si>
  <si>
    <t>山鹿市鹿央町合里４１１</t>
  </si>
  <si>
    <t>山鹿市方保田３１４５番地６</t>
  </si>
  <si>
    <t>山鹿市中９７５番地３</t>
  </si>
  <si>
    <t>山鹿市大橋通７０３</t>
  </si>
  <si>
    <t>山鹿市南島３８７</t>
  </si>
  <si>
    <t>山鹿市鹿本町来民９７８番１</t>
  </si>
  <si>
    <t>山鹿市菊鹿町松尾５０４番１</t>
  </si>
  <si>
    <t>山鹿市平山５４４２番地１</t>
  </si>
  <si>
    <t>山鹿市方保田3643番地１</t>
  </si>
  <si>
    <t>山鹿市新町204</t>
  </si>
  <si>
    <t>山鹿市大橋通５０３―１</t>
  </si>
  <si>
    <t>山鹿市山鹿１０２６－３</t>
  </si>
  <si>
    <t>山鹿市山鹿９９２－８</t>
  </si>
  <si>
    <t>熊本県山鹿市古閑１０７５番地９</t>
  </si>
  <si>
    <t>菊池市隈府１１０</t>
  </si>
  <si>
    <t>菊池市北宮３４０－１</t>
  </si>
  <si>
    <t>菊池市深川４００</t>
  </si>
  <si>
    <t>菊池市片角２５８－１</t>
  </si>
  <si>
    <t>菊池市大琳寺２７６－３</t>
  </si>
  <si>
    <t>菊池市隈府１２７２－１０</t>
  </si>
  <si>
    <t>菊池市片角２９４－２</t>
  </si>
  <si>
    <t>菊池市隈府９５２</t>
  </si>
  <si>
    <t>菊池市大琳寺２７５－１</t>
  </si>
  <si>
    <t>菊池市隈府４９７－１</t>
  </si>
  <si>
    <t>菊池市七城町亀尾２４２９</t>
  </si>
  <si>
    <t>菊池市七城町甲佐町２９６</t>
  </si>
  <si>
    <t>菊池市旭志弁利８２－１</t>
  </si>
  <si>
    <t>菊池市旭志伊坂４４９－１</t>
  </si>
  <si>
    <t>菊池郡大津町室２１５－８</t>
  </si>
  <si>
    <t>菊池郡大津町室１５６</t>
  </si>
  <si>
    <t>菊池郡大津町大津１２１２－２７</t>
  </si>
  <si>
    <t>菊池郡大津町大津１１７７</t>
  </si>
  <si>
    <t>菊池郡大津町大津２０６１</t>
  </si>
  <si>
    <t>菊池郡大津町室９５９</t>
  </si>
  <si>
    <t>菊池郡大津町平川１５００</t>
  </si>
  <si>
    <t>菊池郡大津町室５３９－１０</t>
  </si>
  <si>
    <t>菊池郡菊陽町原水２９７３</t>
  </si>
  <si>
    <t>菊池郡菊陽町津久礼３０１１－４</t>
  </si>
  <si>
    <t>菊池郡菊陽町新山２－８－２３</t>
  </si>
  <si>
    <t>菊池郡菊陽町津久礼２２３２－１</t>
  </si>
  <si>
    <t>菊池郡菊陽町杉並台２－１２－１５</t>
  </si>
  <si>
    <t>菊池郡菊陽町大字原水２９５１－１</t>
  </si>
  <si>
    <t>菊池郡菊陽町辛川１９２９</t>
  </si>
  <si>
    <t>菊池郡菊陽町津久礼８６８－５</t>
  </si>
  <si>
    <t>菊池郡菊陽町津久礼２４２２－１５</t>
  </si>
  <si>
    <t>菊池郡菊陽町原水１６１１</t>
  </si>
  <si>
    <t>菊池郡菊陽町原水１１５６番地１３</t>
  </si>
  <si>
    <t>合志市幾久富１８６６－１３３２</t>
  </si>
  <si>
    <t>合志市竹迫１９８３－２</t>
  </si>
  <si>
    <t>合志市幾久富１７５８－６９０</t>
  </si>
  <si>
    <t>合志市幾久富１９０９－５４７</t>
  </si>
  <si>
    <t>合志市竹迫２２２４</t>
  </si>
  <si>
    <t>合志市幾久富１９０９－９６４</t>
  </si>
  <si>
    <t>合志市幾久富１８６６－３４３</t>
  </si>
  <si>
    <t>合志市幾久富１９０９－１３７９</t>
  </si>
  <si>
    <t>合志市幾久富１９０９－２２７</t>
  </si>
  <si>
    <t>合志市幾久富１８６６－５１３</t>
  </si>
  <si>
    <t>合志市幾久富１９０９－５４５</t>
  </si>
  <si>
    <t>合志市幾久富１７５８－１４５</t>
  </si>
  <si>
    <t>菊池市泗水町豊水３３８８－１</t>
  </si>
  <si>
    <t>菊池市泗水町吉富１７－１</t>
  </si>
  <si>
    <t>菊池市泗水町福本７７５</t>
  </si>
  <si>
    <t>菊池市泗水町吉富２１９３－１</t>
  </si>
  <si>
    <t>菊池市泗水町豊水３７３８－１</t>
  </si>
  <si>
    <t>菊池市泗水町吉富３１６９</t>
  </si>
  <si>
    <t>菊池市泗水町永１０２１</t>
  </si>
  <si>
    <t>合志市須屋１９７９－３</t>
  </si>
  <si>
    <t>合志市御代志７２２－１</t>
  </si>
  <si>
    <t>合志市合生４０９５－１</t>
  </si>
  <si>
    <t>合志市御代志７２２－７</t>
  </si>
  <si>
    <t>合志市御代志７１８－４</t>
  </si>
  <si>
    <t>合志市御代志９９７</t>
  </si>
  <si>
    <t>合志市御代志１６６５－１６６</t>
  </si>
  <si>
    <t>菊池郡大津町室５３２－１</t>
  </si>
  <si>
    <t>菊池市泗水町吉富２１９３番地１</t>
  </si>
  <si>
    <t>合志市須屋２５２６－１</t>
  </si>
  <si>
    <t>菊池郡大津町室２１０－６</t>
  </si>
  <si>
    <t>菊池郡菊陽町原水１１５６－２</t>
  </si>
  <si>
    <t>菊池郡菊陽町光の森３丁目１７－３</t>
  </si>
  <si>
    <t>菊池市大琳寺字東善寺２３５番地</t>
  </si>
  <si>
    <t>菊池市隈府字町１１５番４</t>
  </si>
  <si>
    <t>菊池市隈府２７７番地２</t>
  </si>
  <si>
    <t>菊池郡大津町室５５</t>
  </si>
  <si>
    <t>合志市栄２４９７－１０</t>
  </si>
  <si>
    <t>菊池市隈府字藪ノ内９２３番地</t>
  </si>
  <si>
    <t>菊池郡菊陽町大字久保田２８０２番地１</t>
  </si>
  <si>
    <t>菊池郡菊陽町馬場楠４２７番地</t>
  </si>
  <si>
    <t>菊池郡菊陽町光の森３－１７－４</t>
  </si>
  <si>
    <t>菊池郡菊陽町光の森７丁目１４－７</t>
  </si>
  <si>
    <t>菊池郡菊陽町光の森３丁目１－１</t>
  </si>
  <si>
    <t>合志市野々島２４６１</t>
  </si>
  <si>
    <t>菊池郡大津町錦野３９４</t>
  </si>
  <si>
    <t>菊池郡大津町大津1210番5</t>
  </si>
  <si>
    <t>菊池郡菊陽町津久礼２５２８番地５</t>
  </si>
  <si>
    <t>合志市須屋264番地4</t>
  </si>
  <si>
    <t>合志市須屋１４１５番地５</t>
  </si>
  <si>
    <t>菊池市泗水町吉富２２７６－１</t>
  </si>
  <si>
    <t>菊池市泗水町吉富2900</t>
  </si>
  <si>
    <t>菊池郡大津町室１７０７番地</t>
  </si>
  <si>
    <t>菊池郡菊陽町光の森７丁目３３番地１</t>
  </si>
  <si>
    <t>菊池郡菊陽町光の森７丁目３番地７</t>
  </si>
  <si>
    <t>菊池市隈府７１９</t>
  </si>
  <si>
    <t>菊池郡大津町大津１２１２－２９</t>
  </si>
  <si>
    <t>菊池郡大津町陣内１１６７番地５</t>
  </si>
  <si>
    <t>菊池市隈府１６２</t>
  </si>
  <si>
    <t>合志市御代志２０３７－３</t>
  </si>
  <si>
    <t>菊池郡菊陽町光の森７丁目４１－４</t>
  </si>
  <si>
    <t>合志市豊岡２０００番地１９０</t>
  </si>
  <si>
    <t>合志市幾久富１９０９番地５６９</t>
  </si>
  <si>
    <t>菊池市亘１１番地１</t>
  </si>
  <si>
    <t>合志市須屋２６７０番地３</t>
  </si>
  <si>
    <t>合志市御代志４６８－１</t>
  </si>
  <si>
    <t>菊池郡菊陽町光の森７丁目２５－５</t>
  </si>
  <si>
    <t>菊池郡大津町大字室字三郎松１７２４番地１</t>
  </si>
  <si>
    <t>菊池郡大津町引水578番地2</t>
  </si>
  <si>
    <t>合志市豊岡2000-596</t>
  </si>
  <si>
    <t>菊池郡大津町室１７１３</t>
  </si>
  <si>
    <t>合志市幾久富字城戸内１１２１－１</t>
  </si>
  <si>
    <t>菊池郡菊陽町津久礼３００２番地１</t>
  </si>
  <si>
    <t>合志市豊岡２０００－３３</t>
  </si>
  <si>
    <t>合志市野々島５６７８番２</t>
  </si>
  <si>
    <t>菊池市隈府１１４－３</t>
  </si>
  <si>
    <t>菊池市旭志川辺１３１４－１</t>
  </si>
  <si>
    <t>合志市竹迫字桜山２２９１番地</t>
  </si>
  <si>
    <t>菊池市泗水町吉富３１８５番地４</t>
  </si>
  <si>
    <t>菊池郡大津町引水196番地１９</t>
  </si>
  <si>
    <t>菊池市今５８番地</t>
  </si>
  <si>
    <t>菊池市西寺字北園１４００－１</t>
  </si>
  <si>
    <t>菊池郡大津町引水700-1</t>
  </si>
  <si>
    <t>菊池郡菊陽町原水2906番地5</t>
  </si>
  <si>
    <t>合志市豊岡2000番107</t>
  </si>
  <si>
    <t>熊本県合志市合生３９６５－２</t>
  </si>
  <si>
    <t>菊池郡菊陽町津久礼２４１７－２</t>
  </si>
  <si>
    <t>菊池市泗水町吉富宝町１７２３</t>
  </si>
  <si>
    <t>合志市竹迫２２４９番地２</t>
  </si>
  <si>
    <t>菊池郡菊陽町津久礼2422番地サンリーカリーノ２階</t>
  </si>
  <si>
    <t>菊池郡大津町室２１３番地９</t>
  </si>
  <si>
    <t>菊池郡菊陽町原水２３</t>
  </si>
  <si>
    <t>菊池郡菊陽町原水２９１２番１</t>
  </si>
  <si>
    <t>菊池郡菊陽町津久礼2377番地1</t>
  </si>
  <si>
    <t>菊池市隈府７７５</t>
  </si>
  <si>
    <t>菊池郡菊陽町津久礼２４３４番地</t>
  </si>
  <si>
    <t>菊池郡大津町引水729-1</t>
  </si>
  <si>
    <t>菊池郡菊陽町光の森5丁目20-10</t>
  </si>
  <si>
    <t>合志市須屋７０６番２号ラポール柴田Ⅱ103号</t>
  </si>
  <si>
    <t>合志市豊岡２０００番地２４７４</t>
  </si>
  <si>
    <t>菊池郡大津町大津中井迫2411-7</t>
  </si>
  <si>
    <t>菊池郡菊陽町原水1166-1</t>
  </si>
  <si>
    <t>阿蘇市乙姫１７７６</t>
  </si>
  <si>
    <t>阿蘇郡小国町宮原425番12</t>
  </si>
  <si>
    <t>阿蘇郡南阿蘇村大字河陰３９８９番地１</t>
  </si>
  <si>
    <t>阿蘇市一の宮町宮地１８０１番地の１</t>
  </si>
  <si>
    <t>阿蘇市一の宮町坂梨八千場２３６５</t>
  </si>
  <si>
    <t>阿蘇市黒川１４８４</t>
  </si>
  <si>
    <t>阿蘇市内牧字中町２２７－１２</t>
  </si>
  <si>
    <t>阿蘇市小里２４９－２</t>
  </si>
  <si>
    <t>阿蘇市三久保７１５番地</t>
  </si>
  <si>
    <t>阿蘇市内牧１１５番地</t>
  </si>
  <si>
    <t>阿蘇市黒川１３６５番地</t>
  </si>
  <si>
    <t>阿蘇市永草字堤２０８９番地</t>
  </si>
  <si>
    <t>阿蘇市内牧１０４９－１３</t>
  </si>
  <si>
    <t>阿蘇郡南小国町満願寺５８５４番地の１</t>
  </si>
  <si>
    <t>阿蘇郡南小国町赤馬場１９５６番地の１７</t>
  </si>
  <si>
    <t>阿蘇郡小国町宮原１７７１－１</t>
  </si>
  <si>
    <t>阿蘇郡産山村大字山鹿４８９番地の５</t>
  </si>
  <si>
    <t>阿蘇市波野大字波野２７０３番地</t>
  </si>
  <si>
    <t>阿蘇郡高森町高森３１７５番地</t>
  </si>
  <si>
    <t>南阿蘇村一関１２８２番地</t>
  </si>
  <si>
    <t>阿蘇郡南阿蘇村中松２８３６番地</t>
  </si>
  <si>
    <t>南阿蘇村河陰４６６７番</t>
  </si>
  <si>
    <t>阿蘇郡南阿蘇村下野４０１－５</t>
  </si>
  <si>
    <t>阿蘇郡南阿蘇村河陽４４６３番地</t>
  </si>
  <si>
    <t>阿蘇郡西原村布田字化粧塚８９７－１</t>
  </si>
  <si>
    <t>阿蘇市黒川１５２２－１</t>
  </si>
  <si>
    <t>阿蘇郡西原村鳥子字上陣ノ上３０７２番地</t>
  </si>
  <si>
    <t>阿蘇市黒川１４９９番地４</t>
  </si>
  <si>
    <t>阿蘇市一の宮町宮地4735-6</t>
  </si>
  <si>
    <t>阿蘇郡産山村田尻６１８番地２</t>
  </si>
  <si>
    <t>阿蘇市赤水字無田ノ上１８９４番地１</t>
  </si>
  <si>
    <t>熊本県阿蘇郡高森町大字高森２１８６番地１</t>
  </si>
  <si>
    <t>阿蘇郡高森町高森２０２２－３</t>
  </si>
  <si>
    <t>阿蘇市一の宮町宮地字桐子１４４６－１</t>
  </si>
  <si>
    <t>阿蘇郡南阿蘇村大字白川２１１０番地１</t>
  </si>
  <si>
    <t>阿蘇市一の宮町宮地2402</t>
  </si>
  <si>
    <t>阿蘇市乙姫１６００番地１</t>
  </si>
  <si>
    <t>阿蘇郡南阿蘇村大字両併２３８５番地</t>
  </si>
  <si>
    <t>阿蘇郡小国町宮原７４１－３</t>
  </si>
  <si>
    <t>阿蘇郡西原村小森2822-3</t>
  </si>
  <si>
    <t>阿蘇郡高森町大字高森１６１３番地５</t>
  </si>
  <si>
    <t>阿蘇郡西原村小森3209-2</t>
  </si>
  <si>
    <t>上益城郡御船町辺田見４１０－１</t>
  </si>
  <si>
    <t>上益城郡御船町上野１５３６</t>
  </si>
  <si>
    <t>上益城郡御船町御船９４８番地</t>
  </si>
  <si>
    <t>上益城郡御船町辺田見８４０－９</t>
  </si>
  <si>
    <t>上益城郡御船町辺田見字馬場４１０－１</t>
  </si>
  <si>
    <t>上益城郡御船町御船１０６１</t>
  </si>
  <si>
    <t>上益城郡嘉島町鯰２６３９</t>
  </si>
  <si>
    <t>上益城郡嘉島町鯰１８３４番地１</t>
  </si>
  <si>
    <t>上益城郡嘉島町鯰１８９８－３</t>
  </si>
  <si>
    <t>上益城郡嘉島町北甘木２０７３</t>
  </si>
  <si>
    <t>上益城郡嘉島町上島２４９１</t>
  </si>
  <si>
    <t>上益城郡益城町福富字前畑８０２－２</t>
  </si>
  <si>
    <t>上益城郡益城町安永1400</t>
  </si>
  <si>
    <t>上益城郡益城町惣領１３１６番地</t>
  </si>
  <si>
    <t>上益城郡益城町砥川１７２６</t>
  </si>
  <si>
    <t>上益城郡益城町馬水８０５</t>
  </si>
  <si>
    <t>上益城郡益城町安永８０５番地４</t>
  </si>
  <si>
    <t>上益城郡甲佐町西寒野１１６１</t>
  </si>
  <si>
    <t>上益城郡山都町城平８４２</t>
  </si>
  <si>
    <t>上益城郡山都町浜町２６７</t>
  </si>
  <si>
    <t>上益城郡山都町北中島字境の谷２６８４－２</t>
  </si>
  <si>
    <t>上益城郡山都町井無田１２９４－３</t>
  </si>
  <si>
    <t>上益城郡山都町東竹原２８５番地の１</t>
  </si>
  <si>
    <t>上益城郡山都町滝上２２３番地の１</t>
  </si>
  <si>
    <t>上益城郡嘉島町大字上島字長池２２３２イオンモール熊本１階</t>
  </si>
  <si>
    <t>上益城郡嘉島町大字上島９６１</t>
  </si>
  <si>
    <t>上益城郡嘉島町北甘木２０１８番地</t>
  </si>
  <si>
    <t>上益城郡甲佐町大字岩下９６番地１</t>
  </si>
  <si>
    <t>上益城郡甲佐町緑町５０番地</t>
  </si>
  <si>
    <t>上益城郡益城町惣領１６７０</t>
  </si>
  <si>
    <t>上益城郡御船町木倉１１８２</t>
  </si>
  <si>
    <t>上益城郡山都町千滝２１１番地</t>
  </si>
  <si>
    <t>上益城郡嘉島町大字上仲間151番地1</t>
  </si>
  <si>
    <t>上益城郡山都町今３２２番地１</t>
  </si>
  <si>
    <t>上益城郡益城町大字宮園４０８－１</t>
  </si>
  <si>
    <t>熊本県上益城郡益城町福原１９８８番地１</t>
  </si>
  <si>
    <t>熊本県上益城郡御船町大字木倉4780番地</t>
  </si>
  <si>
    <t>熊本県上益城郡益城町大字安永1080番地</t>
  </si>
  <si>
    <t>上益城郡御船町辺田見３４－１</t>
  </si>
  <si>
    <t>上益城郡嘉島町鯰２７７８</t>
  </si>
  <si>
    <t>上益城郡益城町宮園７３２－９</t>
  </si>
  <si>
    <t>上益城郡益城町木山３５８番地１</t>
  </si>
  <si>
    <t>上益城郡山都町緑川２０１５</t>
  </si>
  <si>
    <t>上益城郡御船町御船903</t>
  </si>
  <si>
    <t>上益城郡山都町上寺２１７８－５</t>
  </si>
  <si>
    <t>上益城郡益城町宮園６９４－６</t>
  </si>
  <si>
    <t>上益城郡益城町惣領１４２９番地５</t>
  </si>
  <si>
    <t>上益城郡益城町惣領1530番地</t>
  </si>
  <si>
    <t>上益城郡御船町辺田見３９６－１</t>
  </si>
  <si>
    <t>上益城郡御船町御船935</t>
  </si>
  <si>
    <t>上益城郡益城町大字広崎1572番地1</t>
  </si>
  <si>
    <t>上益城郡嘉島町上島９６４－１</t>
  </si>
  <si>
    <t>上益城郡甲佐町岩下68番地13</t>
  </si>
  <si>
    <t>上益城郡益城町惣領１４８７</t>
  </si>
  <si>
    <t>上益城郡益城町大字広崎１０３７番１</t>
  </si>
  <si>
    <t>上益城郡益城町惣領1517-1</t>
  </si>
  <si>
    <t>上益城郡山都町浜町１６７番地の１</t>
  </si>
  <si>
    <t>熊本県上益城郡益城町広崎字花立1038-1</t>
  </si>
  <si>
    <t>熊本県上益城郡嘉島町上島2299-1</t>
  </si>
  <si>
    <t>熊本県上益城郡嘉島町北甘木2257番地1</t>
  </si>
  <si>
    <t>八代市萩原町１丁目７番地２８号</t>
  </si>
  <si>
    <t>八代市日奈久塩北町４３０３</t>
  </si>
  <si>
    <t>八代市本町２－３－４９</t>
  </si>
  <si>
    <t>八代市大手町１－７－１８</t>
  </si>
  <si>
    <t>八代市迎町１－７－２３</t>
  </si>
  <si>
    <t>八代市永碇町１２４５－１</t>
  </si>
  <si>
    <t>八代市横手新町１４－４</t>
  </si>
  <si>
    <t>八代市田中北町４－１２</t>
  </si>
  <si>
    <t>八代市本町３－３－３５</t>
  </si>
  <si>
    <t>八代市萩原町２－６－３２</t>
  </si>
  <si>
    <t>八代市植柳上町６５２１番地</t>
  </si>
  <si>
    <t>八代市植柳元町５５４０－１</t>
  </si>
  <si>
    <t>八代市西片町１６６０</t>
  </si>
  <si>
    <t>八代市敷川内町１２０２</t>
  </si>
  <si>
    <t>八代市大手町一丁目７番２２号</t>
  </si>
  <si>
    <t>八代市植柳上町５６９０－１</t>
  </si>
  <si>
    <t>八代市本野町２０７６</t>
  </si>
  <si>
    <t>八代市大手町２－８－２０</t>
  </si>
  <si>
    <t>八代市二見本町葛迫４３３</t>
  </si>
  <si>
    <t>八代市松江町１６８－１</t>
  </si>
  <si>
    <t>八代市松崎町１４７</t>
  </si>
  <si>
    <t>八代市本町１－８－６</t>
  </si>
  <si>
    <t>八代市錦町８－５</t>
  </si>
  <si>
    <t>八代市高下西町２２６８</t>
  </si>
  <si>
    <t>八代市高下西町２２７１－１</t>
  </si>
  <si>
    <t>八代市上日置町２３４５</t>
  </si>
  <si>
    <t>八代市日奈久塩北町２９０５</t>
  </si>
  <si>
    <t>八代市葭牟田町４３５</t>
  </si>
  <si>
    <t>八代市敷川内町２２５１－１</t>
  </si>
  <si>
    <t>八代市花園町１０－１</t>
  </si>
  <si>
    <t>八代市植柳上町９３１</t>
  </si>
  <si>
    <t>八代市日置町１５０</t>
  </si>
  <si>
    <t>八代市本町１丁目７－４０</t>
  </si>
  <si>
    <t>八代市黄金町２０－９</t>
  </si>
  <si>
    <t>八代市袋町１－８</t>
  </si>
  <si>
    <t>八代市日奈久中西町４１８</t>
  </si>
  <si>
    <t>八代市松江町２８８</t>
  </si>
  <si>
    <t>八代市塩屋町４－４</t>
  </si>
  <si>
    <t>八代市通町７－１４</t>
  </si>
  <si>
    <t>八代市高島町４２２１</t>
  </si>
  <si>
    <t>八代市横手本町２－１</t>
  </si>
  <si>
    <t>八代市平山新町４４７２－３</t>
  </si>
  <si>
    <t>八代市平山新町４４３８－５</t>
  </si>
  <si>
    <t>八代市永碇町１３６１</t>
  </si>
  <si>
    <t>八代市大手町２－５－２３</t>
  </si>
  <si>
    <t>八代市坂本町坂本１０７１</t>
  </si>
  <si>
    <t>八代市千丁町太牟田１３００－８</t>
  </si>
  <si>
    <t>八代市千丁町吉王丸１５９８－３</t>
  </si>
  <si>
    <t>八代市千丁町古閑出６１６</t>
  </si>
  <si>
    <t>八代市鏡町鏡村１１０８－１</t>
  </si>
  <si>
    <t>八代市鏡町鏡村１１２５－１</t>
  </si>
  <si>
    <t>八代市鏡町両出８８０－１</t>
  </si>
  <si>
    <t>八代市鏡町下有佐１７８番地</t>
  </si>
  <si>
    <t>八代市鏡町鏡２１０</t>
  </si>
  <si>
    <t>八代市鏡町両出１５０３－１</t>
  </si>
  <si>
    <t>八代市鏡町鏡２３</t>
  </si>
  <si>
    <t>八代郡氷川町大野８８３</t>
  </si>
  <si>
    <t>八代郡氷川町鹿島鹿島９４５</t>
  </si>
  <si>
    <t>八代郡氷川町鹿島９４５</t>
  </si>
  <si>
    <t>八代市東陽町南７５２－１</t>
  </si>
  <si>
    <t>八代市泉町柿迫３１８８－２</t>
  </si>
  <si>
    <t>八代市建馬町３番１号</t>
  </si>
  <si>
    <t>八代市豊原下町３３２５番地の１</t>
  </si>
  <si>
    <t>八代市泉町椎原３番地１６</t>
  </si>
  <si>
    <t>八代市泉町下岳１５６２番地１</t>
  </si>
  <si>
    <t>八代市若草町２－１０</t>
  </si>
  <si>
    <t>八代市永碇町１２６３番地</t>
  </si>
  <si>
    <t>八代市古閑浜町３２９５－８</t>
  </si>
  <si>
    <t>八代市海士江町３４９０番地１</t>
  </si>
  <si>
    <t>八代市鏡町鏡村２１０－３</t>
  </si>
  <si>
    <t>八代市日置町３１４番地４</t>
  </si>
  <si>
    <t>八代市永碇町１３０５番地</t>
  </si>
  <si>
    <t>熊本県八代市大村町1113番５</t>
  </si>
  <si>
    <t>八代市迎町２－１５－１４</t>
  </si>
  <si>
    <t>八代市日奈久塩南町字裏５４番地</t>
  </si>
  <si>
    <t>八代市興善寺町４９５番地１</t>
  </si>
  <si>
    <t>八代市鏡町内田６９７番地１１</t>
  </si>
  <si>
    <t>八代市千丁町太牟田２６１８</t>
  </si>
  <si>
    <t>八代市花園町６－１</t>
  </si>
  <si>
    <t>熊本県八代市北の丸町３－３７</t>
  </si>
  <si>
    <t>八代市郡築四番町４６</t>
  </si>
  <si>
    <t>八代市大村町350番地</t>
  </si>
  <si>
    <t>八代市海士江町２９１３</t>
  </si>
  <si>
    <t>八代市永碇町字新地１２８３番３</t>
  </si>
  <si>
    <t>熊本県八代郡氷川町島地４１９－３</t>
  </si>
  <si>
    <t>八代郡氷川町鹿島７６９番地１</t>
  </si>
  <si>
    <t>八代市竹原町１４３９番地２</t>
  </si>
  <si>
    <t>八代市東陽町南１１２７－１</t>
  </si>
  <si>
    <t>八代市海士江町２８３３番１</t>
  </si>
  <si>
    <t>八代市古城町１９３８</t>
  </si>
  <si>
    <t>八代市花園町１８－１</t>
  </si>
  <si>
    <t>八代市日奈久平成町１－１</t>
  </si>
  <si>
    <t>八代市上日置町字八坪４４４７－１</t>
  </si>
  <si>
    <t>八代市横手新町２号１７番地</t>
  </si>
  <si>
    <t>八代市葭牟田町４２８番地</t>
  </si>
  <si>
    <t>八代市錦町１０番地１</t>
  </si>
  <si>
    <t>八代市新地町６番２６号</t>
  </si>
  <si>
    <t>八代市本町二丁目２番９号</t>
  </si>
  <si>
    <t>八代市西松江城町５番３５号</t>
  </si>
  <si>
    <t>八代市永碇町１０７３－５</t>
  </si>
  <si>
    <t>八代市鏡町下有佐４４９番地</t>
  </si>
  <si>
    <t>八代郡氷川町早尾１３２</t>
  </si>
  <si>
    <t>八代市松江町４８５－１</t>
  </si>
  <si>
    <t>八代市長田町３１８４－１</t>
  </si>
  <si>
    <t>八代市萩原町一丁目８番４０号</t>
  </si>
  <si>
    <t>八代市妙見町１４５番地</t>
  </si>
  <si>
    <t>八代市田中西町一丁目１番５号</t>
  </si>
  <si>
    <t>八代市松江城町６－３１１階</t>
  </si>
  <si>
    <t>八代市古閑中町１２１０番地</t>
  </si>
  <si>
    <t>八代市鏡町下村１５１３番地１</t>
  </si>
  <si>
    <t>八代市日奈久東町２６３</t>
  </si>
  <si>
    <t>八代市宮地町１６９番地１</t>
  </si>
  <si>
    <t>八代市弥生町12番地1</t>
  </si>
  <si>
    <t>八代市渡町1717番地</t>
  </si>
  <si>
    <t>八代市通町５－２８</t>
  </si>
  <si>
    <t>八代市永碇町１３２３番地３</t>
  </si>
  <si>
    <t>八代市長田町２９５０</t>
  </si>
  <si>
    <t>八代市日奈久塩南町５４番地</t>
  </si>
  <si>
    <t>八代郡氷川町宮原６９４－１</t>
  </si>
  <si>
    <t>水俣市南福寺３番１号</t>
  </si>
  <si>
    <t>水俣市天神町２－１－８</t>
  </si>
  <si>
    <t>水俣市栄町２丁目１－１６</t>
  </si>
  <si>
    <t>水俣市平町１丁目１－１</t>
  </si>
  <si>
    <t>水俣市久木野８３３番地</t>
  </si>
  <si>
    <t>水俣市八幡町３丁目２番７号</t>
  </si>
  <si>
    <t>水俣市浜４０５８－１８</t>
  </si>
  <si>
    <t>水俣市桜井町２丁目２－２８</t>
  </si>
  <si>
    <t>水俣市桜井町２丁目１－８</t>
  </si>
  <si>
    <t>水俣市浜町１丁目２－３０</t>
  </si>
  <si>
    <t>水俣市大園町１丁目４－５</t>
  </si>
  <si>
    <t>水俣市塩浜町２番４７号</t>
  </si>
  <si>
    <t>水俣市旭町２丁目２－５</t>
  </si>
  <si>
    <t>芦北郡芦北町田浦町３５８－２</t>
  </si>
  <si>
    <t>芦北郡芦北町田浦町８７０－１</t>
  </si>
  <si>
    <t>葦北郡芦北町湯浦字生田４１７－１</t>
  </si>
  <si>
    <t>葦北郡芦北町大字佐敷１６７番地</t>
  </si>
  <si>
    <t>芦北郡芦北町佐敷３７０－１</t>
  </si>
  <si>
    <t>葦北郡芦北町湯浦１５０５番地１</t>
  </si>
  <si>
    <t>葦北郡芦北町花岡１１１８番地</t>
  </si>
  <si>
    <t>芦北郡芦北町芦北２０９０</t>
  </si>
  <si>
    <t>葦北郡芦北町大字花岡１６６６番地４</t>
  </si>
  <si>
    <t>芦北郡芦北町芦北２６１０－８</t>
  </si>
  <si>
    <t>芦北郡津奈木町岩城１５２０</t>
  </si>
  <si>
    <t>葦北郡津奈木町岩城６番地</t>
  </si>
  <si>
    <t>葦北郡芦北町芦北２３３１－２</t>
  </si>
  <si>
    <t>水俣市天神町１－４－１０</t>
  </si>
  <si>
    <t>熊本県水俣市桜井町１－２－８</t>
  </si>
  <si>
    <t>葦北郡芦北町大字佐敷３４８番地１</t>
  </si>
  <si>
    <t>水俣市月浦字村上２６９番４</t>
  </si>
  <si>
    <t>葦北郡芦北町湯浦２１８番地３</t>
  </si>
  <si>
    <t>葦北郡芦北町芦北２８５５番地</t>
  </si>
  <si>
    <t>水俣市野口町１番１号</t>
  </si>
  <si>
    <t>水俣市浜町３丁目６番２１号</t>
  </si>
  <si>
    <t>水俣市古賀町２丁目５番３２号</t>
  </si>
  <si>
    <t>水俣市石坂川１１３番２</t>
  </si>
  <si>
    <t>水俣市古賀町２丁目５番３６号</t>
  </si>
  <si>
    <t>葦北郡芦北町田浦８０６番地</t>
  </si>
  <si>
    <t>葦北郡芦北町大字芦北字大迫尻２４１３番地１</t>
  </si>
  <si>
    <t>水俣市古賀町２丁目５番３１号</t>
  </si>
  <si>
    <t>水俣市大迫1213</t>
  </si>
  <si>
    <t>水俣市袋２５０１番地２５２</t>
  </si>
  <si>
    <t>水俣市袋2501番地252</t>
  </si>
  <si>
    <t>球磨郡あさぎり町上北１９３－１</t>
  </si>
  <si>
    <t>球磨郡多良木町槻木字本園７０２番地１３</t>
  </si>
  <si>
    <t>球磨郡湯前町８３６番地</t>
  </si>
  <si>
    <t>人吉市駒井田町1951</t>
  </si>
  <si>
    <t>人吉市下漆田町字後平１５３８－４</t>
  </si>
  <si>
    <t>人吉市西間上町２３８７－１</t>
  </si>
  <si>
    <t>人吉市鶴田町９－２</t>
  </si>
  <si>
    <t>人吉市西間上町２５６３－７</t>
  </si>
  <si>
    <t>人吉市下城本町１４２２－１</t>
  </si>
  <si>
    <t>人吉市下城本町１３９４－１</t>
  </si>
  <si>
    <t>人吉市南町１９</t>
  </si>
  <si>
    <t>人吉市駒井田町１８９</t>
  </si>
  <si>
    <t>人吉市願成寺町４４１－２</t>
  </si>
  <si>
    <t>人吉市宝来町１２８５－５</t>
  </si>
  <si>
    <t>人吉市中青井町萩原２９５－８</t>
  </si>
  <si>
    <t>人吉市合の原町字莖の角４６１－２</t>
  </si>
  <si>
    <t>人吉市寺町９－５</t>
  </si>
  <si>
    <t>人吉市相良町８－１</t>
  </si>
  <si>
    <t>人吉市南泉田町３９</t>
  </si>
  <si>
    <t>人吉市九日町１００</t>
  </si>
  <si>
    <t>人吉市下原田町字瓜生田字若宮1057番地の９</t>
  </si>
  <si>
    <t>人吉市二日町２２</t>
  </si>
  <si>
    <t>人吉市南泉田町１２０</t>
  </si>
  <si>
    <t>人吉市瓦屋町１１２１－６</t>
  </si>
  <si>
    <t>人吉市西間上町２３８６－８</t>
  </si>
  <si>
    <t>人吉市宝来町１６－１０</t>
  </si>
  <si>
    <t>人吉市五日町４４</t>
  </si>
  <si>
    <t>人吉市西間上町２５６９－２</t>
  </si>
  <si>
    <t>人吉市鬼木町７４５－１</t>
  </si>
  <si>
    <t>球磨郡錦町西９４９－１</t>
  </si>
  <si>
    <t>球磨郡錦町一武１５７６</t>
  </si>
  <si>
    <t>球磨郡錦町木上西１４３－１</t>
  </si>
  <si>
    <t>球磨郡錦町木上字杉の場１５０－１</t>
  </si>
  <si>
    <t>球磨郡錦町木上北２２３－１</t>
  </si>
  <si>
    <t>球磨郡錦町西１０６５－３</t>
  </si>
  <si>
    <t>球磨郡あさぎり町上北１６９－２</t>
  </si>
  <si>
    <t>球磨郡あさぎり町上西８３５－２</t>
  </si>
  <si>
    <t>球磨郡あさぎり町免田東２７９１</t>
  </si>
  <si>
    <t>球磨郡あさぎり町深田東４１０</t>
  </si>
  <si>
    <t>球磨郡あさぎり町岡原南７７－１</t>
  </si>
  <si>
    <t>球磨郡あさぎり町上西８３５</t>
  </si>
  <si>
    <t>球磨郡あさぎり町免田東１４４０－１１</t>
  </si>
  <si>
    <t>球磨郡あさぎり町免田東１４９７－６４</t>
  </si>
  <si>
    <t>球磨郡多良木町多良木２８３４</t>
  </si>
  <si>
    <t>球磨郡多良木町多良木２５７－１</t>
  </si>
  <si>
    <t>球磨郡多良木町多良木８９５－６</t>
  </si>
  <si>
    <t>球磨郡多良木町多良木２６０</t>
  </si>
  <si>
    <t>球磨郡多良木町黒肥地１５９６</t>
  </si>
  <si>
    <t>球磨郡多良木町多良木２６５－１</t>
  </si>
  <si>
    <t>球磨郡湯前町９５３－１</t>
  </si>
  <si>
    <t>球磨郡水上村岩野２６５８－１</t>
  </si>
  <si>
    <t>球磨郡水上村江代１６５８－１</t>
  </si>
  <si>
    <t>球磨郡相良村四浦２８１５四浦東</t>
  </si>
  <si>
    <t>球磨郡相良村川辺１７７１</t>
  </si>
  <si>
    <t>球磨郡五木村甲字下手２６７２－１１</t>
  </si>
  <si>
    <t>球磨郡球磨村一勝地７７－１７</t>
  </si>
  <si>
    <t>球磨郡あさぎり町深田東４４５－１</t>
  </si>
  <si>
    <t>人吉市瓦屋町1440-1</t>
  </si>
  <si>
    <t>人吉市宝来町12-9</t>
  </si>
  <si>
    <t>球磨郡錦町西１４－８</t>
  </si>
  <si>
    <t>球磨郡相良村川辺１７６４</t>
  </si>
  <si>
    <t>人吉市蟹作町西中通２１１－１</t>
  </si>
  <si>
    <t>人吉市瓦屋町１８６０－７</t>
  </si>
  <si>
    <t>球磨郡錦町西３６０４－１０６</t>
  </si>
  <si>
    <t>球磨郡錦町一武字原田川1234</t>
  </si>
  <si>
    <t>球磨郡あさぎり町免田東3333番地3</t>
  </si>
  <si>
    <t>人吉市蟹作町３６９０番地</t>
  </si>
  <si>
    <t>人吉市七地町28-1</t>
  </si>
  <si>
    <t>球磨郡水上村大字岩野字石原２６７５番地１</t>
  </si>
  <si>
    <t>人吉市七日町９０</t>
  </si>
  <si>
    <t>人吉市上薩摩瀬町1408番1</t>
  </si>
  <si>
    <t>人吉市西間下町８６－１</t>
  </si>
  <si>
    <t>球磨郡多良木町大字多良木２９０５番地１</t>
  </si>
  <si>
    <t>熊本県球磨郡水上村大字岩野２６７８番地</t>
  </si>
  <si>
    <t>熊本県球磨郡湯前町１９８４番地</t>
  </si>
  <si>
    <t>人吉市蟹作町１１０８番地８</t>
  </si>
  <si>
    <t>人吉市下新町３１４番地１エステート下新</t>
  </si>
  <si>
    <t>球磨郡球磨村渡乙８８０番地２１</t>
  </si>
  <si>
    <t>人吉市東間上町２８１１番地１</t>
  </si>
  <si>
    <t>玉名郡和水町原口７２９－１</t>
  </si>
  <si>
    <t>玉名郡南関町小原1770</t>
  </si>
  <si>
    <t>荒尾市蔵満１８５８番地１</t>
  </si>
  <si>
    <t>荒尾市大島字角田１０１－６</t>
  </si>
  <si>
    <t>玉名市岩崎６番地１</t>
  </si>
  <si>
    <t>荒尾市原万田462</t>
  </si>
  <si>
    <t>荒尾市本井手１５５８－９５</t>
  </si>
  <si>
    <t>荒尾市大正町１－２－３</t>
  </si>
  <si>
    <t>荒尾市荒尾６００－３</t>
  </si>
  <si>
    <t>荒尾市荒尾７８９－１５</t>
  </si>
  <si>
    <t>荒尾市四ツ山町３－５－２</t>
  </si>
  <si>
    <t>荒尾市一部９０４－１</t>
  </si>
  <si>
    <t>荒尾市荒尾２０１８－１</t>
  </si>
  <si>
    <t>荒尾市樺２５１６</t>
  </si>
  <si>
    <t>荒尾市荒尾４１６０－２５６</t>
  </si>
  <si>
    <t>荒尾市増永２４５２－２０</t>
  </si>
  <si>
    <t>荒尾市荒尾８１３－１</t>
  </si>
  <si>
    <t>荒尾市荒尾１７２</t>
  </si>
  <si>
    <t>荒尾市野原１１５番地１</t>
  </si>
  <si>
    <t>荒尾市大島町３－４－４４</t>
  </si>
  <si>
    <t>荒尾市荒尾４１６０－２７１</t>
  </si>
  <si>
    <t>荒尾市一部２１２２</t>
  </si>
  <si>
    <t>荒尾市蔵満１８８４番地１</t>
  </si>
  <si>
    <t>荒尾市川登１７６１－２４</t>
  </si>
  <si>
    <t>荒尾市荒尾４１６０－２５７</t>
  </si>
  <si>
    <t>荒尾市緑ヶ丘２－４－３</t>
  </si>
  <si>
    <t>荒尾市荒尾４５４４－２５</t>
  </si>
  <si>
    <t>荒尾市宮内７２４－１</t>
  </si>
  <si>
    <t>荒尾市増永２４５２－18</t>
  </si>
  <si>
    <t>玉名市岩崎１０２３－３</t>
  </si>
  <si>
    <t>玉名市亀甲１７０</t>
  </si>
  <si>
    <t>玉名市六田３８－６</t>
  </si>
  <si>
    <t>玉名市築地２５－２</t>
  </si>
  <si>
    <t>玉名市亀甲２４８－１</t>
  </si>
  <si>
    <t>玉名市高瀬３４９番地</t>
  </si>
  <si>
    <t>玉名市繁根木１３１－１</t>
  </si>
  <si>
    <t>玉名市大浜町７３５</t>
  </si>
  <si>
    <t>玉名市築地１９５－３</t>
  </si>
  <si>
    <t>玉名市岩崎１００４－１</t>
  </si>
  <si>
    <t>玉名市高瀬３８</t>
  </si>
  <si>
    <t>玉名市伊倉北方１５３３</t>
  </si>
  <si>
    <t>玉名市中１８０６</t>
  </si>
  <si>
    <t>玉名市築地兎町１５９６－１</t>
  </si>
  <si>
    <t>玉名市玉名字西原２１９４</t>
  </si>
  <si>
    <t>玉名市築地字市場７９－１</t>
  </si>
  <si>
    <t>玉名市岩崎４６８－１</t>
  </si>
  <si>
    <t>玉名市伊倉北方８００</t>
  </si>
  <si>
    <t>玉名市大倉山ノ後４３６</t>
  </si>
  <si>
    <t>玉名市中１０２７－６</t>
  </si>
  <si>
    <t>玉名市立願寺字池田１３６－３</t>
  </si>
  <si>
    <t>玉名市高瀬５０８</t>
  </si>
  <si>
    <t>玉名市立願寺１３８</t>
  </si>
  <si>
    <t>玉名市山田高岡原２０１６－１</t>
  </si>
  <si>
    <t>玉名市大倉１５７４－４</t>
  </si>
  <si>
    <t>玉名市亀甲１１５－５</t>
  </si>
  <si>
    <t>玉名市繁根木２２８</t>
  </si>
  <si>
    <t>玉名市中１８４１－２</t>
  </si>
  <si>
    <t>玉名市岱明町高道１１９６－１</t>
  </si>
  <si>
    <t>玉名市岱明町古閑３８８</t>
  </si>
  <si>
    <t>玉名市岱明町大野下１５１２－１</t>
  </si>
  <si>
    <t>玉名市岱明町大野下７９５－２－１</t>
  </si>
  <si>
    <t>玉名市横島町横島２３８１－１</t>
  </si>
  <si>
    <t>玉名市横島町横島４３０１－１</t>
  </si>
  <si>
    <t>玉名市横島町横島３３８７</t>
  </si>
  <si>
    <t>玉名市横島町横島３８９４－１</t>
  </si>
  <si>
    <t>玉名市天水町部田見４４０</t>
  </si>
  <si>
    <t>玉名市天水町小天７１９８</t>
  </si>
  <si>
    <t>玉名市天水町部田見８１２－２</t>
  </si>
  <si>
    <t>玉名郡玉東町木葉３４８</t>
  </si>
  <si>
    <t>玉名郡玉東町木葉７５５－６</t>
  </si>
  <si>
    <t>玉名郡和水町高野１０８０番地</t>
  </si>
  <si>
    <t>玉名郡和水町平野１３００</t>
  </si>
  <si>
    <t>玉名郡南関町上長田６３８番地１</t>
  </si>
  <si>
    <t>玉名郡南関町関町１２１８－１</t>
  </si>
  <si>
    <t>玉名郡南関町上坂下３４８０</t>
  </si>
  <si>
    <t>玉名郡長洲町長洲１３５４</t>
  </si>
  <si>
    <t>玉名郡長洲町清源寺１０６０</t>
  </si>
  <si>
    <t>玉名郡長洲町宮野１８７－１</t>
  </si>
  <si>
    <t>玉名郡長洲町長洲２９３２－３</t>
  </si>
  <si>
    <t>玉名郡長洲町清源寺２７９４－１</t>
  </si>
  <si>
    <t>玉名郡長洲町有明１</t>
  </si>
  <si>
    <t>荒尾市東屋形２丁目１４－９</t>
  </si>
  <si>
    <t>荒尾市蔵満１８５９－１</t>
  </si>
  <si>
    <t>玉名郡和水町江田４０２５</t>
  </si>
  <si>
    <t>玉名市亀甲２３８</t>
  </si>
  <si>
    <t>荒尾市緑ヶ丘二丁目４番１号</t>
  </si>
  <si>
    <t>荒尾市荒尾４１６０番地２７０</t>
  </si>
  <si>
    <t>荒尾市川登１９２１</t>
  </si>
  <si>
    <t>荒尾市野原２５９番地１</t>
  </si>
  <si>
    <t>荒尾市荒尾４１６０－２７３</t>
  </si>
  <si>
    <t>荒尾市高浜１８２５－２０（初回実施地）</t>
  </si>
  <si>
    <t>玉名郡長洲町宮野１４６８－１</t>
  </si>
  <si>
    <t>荒尾市牛水６７０番地６</t>
  </si>
  <si>
    <t>玉名市岩崎６６５番地１</t>
  </si>
  <si>
    <t>長洲町長洲２１６８（初回巡回健診地）</t>
  </si>
  <si>
    <t>玉名市松木１３番地２</t>
  </si>
  <si>
    <t>荒尾市東屋形４丁目２－１</t>
  </si>
  <si>
    <t>玉名市天水町小天６９８６番地１</t>
  </si>
  <si>
    <t>荒尾市西原町１丁目４番２４号</t>
  </si>
  <si>
    <t>玉名市岱明町野口１９７番地（初回巡回診療地）</t>
  </si>
  <si>
    <t>荒尾市四ツ山町三丁目６番３号</t>
  </si>
  <si>
    <t>荒尾市蔵満５６４番地７（初回巡回診療地）</t>
  </si>
  <si>
    <t>荒尾市川登２０５０番地８</t>
  </si>
  <si>
    <t>玉名市岱明町鍋８３４</t>
  </si>
  <si>
    <t>荒尾市増永２７３７－３</t>
  </si>
  <si>
    <t>荒尾市四ツ山町３丁目１番４号</t>
  </si>
  <si>
    <t>玉名市天水町小天６６３３－１</t>
  </si>
  <si>
    <t>玉名市伊倉北方２２５０</t>
  </si>
  <si>
    <t>玉名市伊倉南方987番5</t>
  </si>
  <si>
    <t>玉名市高瀬２３３－１</t>
  </si>
  <si>
    <t>玉名市立願寺６２３－１</t>
  </si>
  <si>
    <t>玉名市寺田４３１－１</t>
  </si>
  <si>
    <t>玉名市松木２７番１</t>
  </si>
  <si>
    <t>荒尾市荒尾789-4</t>
  </si>
  <si>
    <t>玉名郡南関町関町３５５</t>
  </si>
  <si>
    <t>玉名市築地333番1</t>
  </si>
  <si>
    <t>玉名市繁根木４０番地２</t>
  </si>
  <si>
    <t>玉名市築地５番１</t>
  </si>
  <si>
    <t>玉名市岩崎１１－１</t>
  </si>
  <si>
    <t>宇土市浦田町１３６－１</t>
  </si>
  <si>
    <t>宇土市本町１丁目８</t>
  </si>
  <si>
    <t>宇土市入地町１６１－２</t>
  </si>
  <si>
    <t>宇土市南段原町１６１－２</t>
  </si>
  <si>
    <t>宇土市浦田町１４０</t>
  </si>
  <si>
    <t>宇土市松原町３５－８</t>
  </si>
  <si>
    <t>宇土市本町３丁目６４番地</t>
  </si>
  <si>
    <t>宇土市三拾町１４４－２</t>
  </si>
  <si>
    <t>宇土市南段原町１１－６</t>
  </si>
  <si>
    <t>宇土市旭町字前田１４４－１</t>
  </si>
  <si>
    <t>宇土市南段原町７９－４</t>
  </si>
  <si>
    <t>宇城市三角町波多１５９－１</t>
  </si>
  <si>
    <t>宇城市三角町戸馳１６８０</t>
  </si>
  <si>
    <t>宇城市三角町里浦２８５５－５</t>
  </si>
  <si>
    <t>宇城市三角町三角浦１１５９－１２４</t>
  </si>
  <si>
    <t>宇城市不知火町御領７０８－１０</t>
  </si>
  <si>
    <t>宇城市不知火町長崎１８３</t>
  </si>
  <si>
    <t>宇城市不知火町長崎７４０</t>
  </si>
  <si>
    <t>宇城市松橋町松橋１９４１</t>
  </si>
  <si>
    <t>宇城市松橋町久具４００－１</t>
  </si>
  <si>
    <t>宇城市松橋町松橋８５２</t>
  </si>
  <si>
    <t>宇城市松橋町久具３２３－１</t>
  </si>
  <si>
    <t>宇城市松橋町竹崎１１４２－１</t>
  </si>
  <si>
    <t>宇城市松橋町南豊崎５８５</t>
  </si>
  <si>
    <t>宇城市松橋町久具７００</t>
  </si>
  <si>
    <t>宇城市松橋町きらら２丁目５－４</t>
  </si>
  <si>
    <t>宇城市松橋町松橋６８９－１</t>
  </si>
  <si>
    <t>宇城市松橋町竹崎１１１５－３２</t>
  </si>
  <si>
    <t>宇城市松橋町松橋５７０</t>
  </si>
  <si>
    <t>宇城市小川町河江７７－１</t>
  </si>
  <si>
    <t>宇城市小川町江頭１２１</t>
  </si>
  <si>
    <t>宇城市小川町南海東２０３０</t>
  </si>
  <si>
    <t>宇城市小川町大字北新田６１－３</t>
  </si>
  <si>
    <t>宇城市豊野町糸石３８９７</t>
  </si>
  <si>
    <t>下益城郡美里町萱野１４２０</t>
  </si>
  <si>
    <t>下益城郡美里町大字佐俣３３８</t>
  </si>
  <si>
    <t>下益城郡美里町二和田１２３３</t>
  </si>
  <si>
    <t>宇城市三角町大字三角浦３４８番の６</t>
  </si>
  <si>
    <t>宇土市高柳町２０６－６</t>
  </si>
  <si>
    <t>下益城郡美里町馬場７５７－１</t>
  </si>
  <si>
    <t>宇城市豊野町糸石２５１３</t>
  </si>
  <si>
    <t>宇城市松橋町松橋９３６</t>
  </si>
  <si>
    <t>宇土市南段原町２６－１</t>
  </si>
  <si>
    <t>宇城市松橋町松橋１９４７－１</t>
  </si>
  <si>
    <t>宇城市松橋町きらら二丁目２番１５号</t>
  </si>
  <si>
    <t>宇城市小川町川尻２７２－１</t>
  </si>
  <si>
    <t>宇城市小川町江頭393-1</t>
  </si>
  <si>
    <t>宇城市松橋町松橋４７３</t>
  </si>
  <si>
    <t>宇土市野鶴町３４０－１番地</t>
  </si>
  <si>
    <t>宇城市松橋町南豊崎字硴ノ江５９６－３</t>
  </si>
  <si>
    <t>宇土市城之浦町６７</t>
  </si>
  <si>
    <t>宇城市小川町河江１番地１</t>
  </si>
  <si>
    <t>宇城市松橋町きらら3丁目2番19号</t>
  </si>
  <si>
    <t>宇土市下網田町１９０５番地</t>
  </si>
  <si>
    <t>宇土市南段原町１６１－１</t>
  </si>
  <si>
    <t>宇城市不知火町永尾７１７番地</t>
  </si>
  <si>
    <t>宇土市城之浦町１９６</t>
  </si>
  <si>
    <t>宇城市松橋町きらら1丁目９－３</t>
  </si>
  <si>
    <t>宇城市松橋町砂川１７２８</t>
  </si>
  <si>
    <t>宇城市松橋町きらら１丁目７番地８</t>
  </si>
  <si>
    <t>宇城市松橋町松橋８１５番地６</t>
  </si>
  <si>
    <t>下益城郡美里町洞岳１３０８番地</t>
  </si>
  <si>
    <t>宇土市浦田町３１３番地</t>
  </si>
  <si>
    <t>宇城市松橋町曲野字南田２２７５番地１</t>
  </si>
  <si>
    <t>宇城市松橋町豊福５０５番地</t>
  </si>
  <si>
    <t>熊本県宇土市築籠町１３９番４</t>
  </si>
  <si>
    <t>宇城市松橋町きらら一丁目６番９</t>
  </si>
  <si>
    <t>宇城市松橋町松橋1441番地1</t>
  </si>
  <si>
    <t>天草市丸尾町１６－３４</t>
  </si>
  <si>
    <t>天草市本渡町本渡８４８－６</t>
  </si>
  <si>
    <t>天草市亀場町亀川１１０</t>
  </si>
  <si>
    <t>天草市東浜町１４－１５</t>
  </si>
  <si>
    <t>天草市亀場町亀川１７３１－１</t>
  </si>
  <si>
    <t>天草市南新町４－１３</t>
  </si>
  <si>
    <t>天草市八幡町７－２６</t>
  </si>
  <si>
    <t>天草市小松原町１６－１３</t>
  </si>
  <si>
    <t>天草市今釜新町３５３０</t>
  </si>
  <si>
    <t>天草市港町１６－１１</t>
  </si>
  <si>
    <t>天草市古川町１０－２５</t>
  </si>
  <si>
    <t>天草市亀場町食場１１８１－１</t>
  </si>
  <si>
    <t>天草市北原町８－３７</t>
  </si>
  <si>
    <t>天草市佐伊津町９２８</t>
  </si>
  <si>
    <t>天草市南新町７－１５パサージュみなみ２Ｆ</t>
  </si>
  <si>
    <t>天草市南新町３－２１</t>
  </si>
  <si>
    <t>天草市下浦町２０９０－１</t>
  </si>
  <si>
    <t>天草市楠浦町２５９</t>
  </si>
  <si>
    <t>天草市本町下河内８４３－１</t>
  </si>
  <si>
    <t>天草市北原町２－１</t>
  </si>
  <si>
    <t>天草市牛深町１４９８‐２５</t>
  </si>
  <si>
    <t>天草市久玉町１２７３－１</t>
  </si>
  <si>
    <t>天草市久玉町１４１１－１３３</t>
  </si>
  <si>
    <t>天草市牛深町２５２５</t>
  </si>
  <si>
    <t>天草市久玉町５７１６－６</t>
  </si>
  <si>
    <t>上天草市大矢野町大字上字田原２３５３－２</t>
  </si>
  <si>
    <t>上天草市大矢野町登立１９１</t>
  </si>
  <si>
    <t>上天草市大矢野町登立８５３１</t>
  </si>
  <si>
    <t>上天草市大矢野町登立１４１５８</t>
  </si>
  <si>
    <t>上天草市大矢野町上３９１－１</t>
  </si>
  <si>
    <t>上天草市大矢野町上１２８３－３</t>
  </si>
  <si>
    <t>上天草市大矢野町上１５１９</t>
  </si>
  <si>
    <t>上天草市大矢野町登立９１４５－４</t>
  </si>
  <si>
    <t>上天草市大矢野町湯島６５５</t>
  </si>
  <si>
    <t>上天草市松島町阿村５０７２－１２</t>
  </si>
  <si>
    <t>上天草市松島町今泉１００４－１</t>
  </si>
  <si>
    <t>上天草市松島町阿村８０８－６</t>
  </si>
  <si>
    <t>上天草市松島町教良木２９４８－１</t>
  </si>
  <si>
    <t>上天草市姫戸町二間戸２２７９－２</t>
  </si>
  <si>
    <t>上天草市姫戸町姫浦３０５５－１０６</t>
  </si>
  <si>
    <t>上天草市姫戸町姫浦２５４４－６</t>
  </si>
  <si>
    <t>上天草市姫戸町姫浦２５２８－６</t>
  </si>
  <si>
    <t>上天草市龍ヶ岳町大道１５８</t>
  </si>
  <si>
    <t>天草市有明町大島子１９９０－１</t>
  </si>
  <si>
    <t>天草市有明町須子１９６４</t>
  </si>
  <si>
    <t>天草市御所浦町御所浦４３９３－１</t>
  </si>
  <si>
    <t>天草市倉岳町宮田１１３３－２</t>
  </si>
  <si>
    <t>天草市倉岳町棚底８５０－１０５</t>
  </si>
  <si>
    <t>天草市栖本町湯船原６６１</t>
  </si>
  <si>
    <t>天草市栖本町湯船原７３５－１</t>
  </si>
  <si>
    <t>天草市新和町小宮地７６３－２</t>
  </si>
  <si>
    <t>天草市五和町城河原三丁目４５７</t>
  </si>
  <si>
    <t>天草市五和町二江４６６８</t>
  </si>
  <si>
    <t>天草郡苓北町坂瀬川７４８</t>
  </si>
  <si>
    <t>天草郡苓北町上津深江２３０－１</t>
  </si>
  <si>
    <t>天草郡苓北町上津深江１０</t>
  </si>
  <si>
    <t>天草市天草町高浜北６３３</t>
  </si>
  <si>
    <t>天草市河浦町宮野河内４７－５</t>
  </si>
  <si>
    <t>天草市河浦町宮野河内３６６２－２</t>
  </si>
  <si>
    <t>天草市河浦町河浦１９７１</t>
  </si>
  <si>
    <t>天草市河浦町河浦４７７８－３</t>
  </si>
  <si>
    <t>天草市河浦町河浦３１１０－１２</t>
  </si>
  <si>
    <t>天草市南町１－２７</t>
  </si>
  <si>
    <t>天草市五和町二江４４８８－５</t>
  </si>
  <si>
    <t>天草市御所浦町横浦７５０－１３</t>
  </si>
  <si>
    <t>天草市本渡町広瀬１６３８</t>
  </si>
  <si>
    <t>天草市牛深町３４６０－１０２</t>
  </si>
  <si>
    <t>天草市栄町１２－３１</t>
  </si>
  <si>
    <t>上天草市大矢野町中８３０８－１</t>
  </si>
  <si>
    <t>天草市五和町二江１４７７－５７</t>
  </si>
  <si>
    <t>本渡市本渡町広瀬５－２１</t>
  </si>
  <si>
    <t>天草郡苓北町上津深江９４－１</t>
  </si>
  <si>
    <t>天草市今釜町８番１３号</t>
  </si>
  <si>
    <t>熊本県天草市中村町５番２５号</t>
  </si>
  <si>
    <t>熊本県天草市久玉町１４１１番４</t>
  </si>
  <si>
    <t>熊本県天草市下浦町２０８１番地７</t>
  </si>
  <si>
    <t>熊本県天草市今釜町８番５８号</t>
  </si>
  <si>
    <t>天草市太田町８番地８</t>
  </si>
  <si>
    <t>天草市亀場町食場後山下７４０番地</t>
  </si>
  <si>
    <t>上天草市大矢野町登立９６１６番地８</t>
  </si>
  <si>
    <t>天草郡苓北町上津深江１６０番地</t>
  </si>
  <si>
    <t>天草市港町１６－３１</t>
  </si>
  <si>
    <t>天草市五和町御領6454</t>
  </si>
  <si>
    <t>上天草市松島町教良木３１００番地</t>
  </si>
  <si>
    <t>天草市本町下河内２２３４番地</t>
  </si>
  <si>
    <t>天草市牛深町1498番地27</t>
  </si>
  <si>
    <t>天草市大浜町８－１０</t>
  </si>
  <si>
    <t>天草市五和町御領９１１３番地</t>
  </si>
  <si>
    <t>天草市八幡町７－１８</t>
  </si>
  <si>
    <t>天草市有明町小島子１３５８番９</t>
  </si>
  <si>
    <t>天草市亀場町亀川1680番地</t>
  </si>
  <si>
    <t>天草市御所浦町御所浦２０８１番地１３</t>
  </si>
  <si>
    <t>天草市宮地岳町１７３４番地２</t>
  </si>
  <si>
    <t>天草市亀場町亀川254番地</t>
  </si>
  <si>
    <t>天草市八幡町16番20号</t>
  </si>
  <si>
    <t>天草市東町7番43号</t>
  </si>
  <si>
    <t>上天草市大矢野町中字宮島1314番地１</t>
  </si>
  <si>
    <t>天草郡苓北町富岡3273-2</t>
  </si>
  <si>
    <t>所在地</t>
    <rPh sb="0" eb="3">
      <t>ショザイチ</t>
    </rPh>
    <phoneticPr fontId="18"/>
  </si>
  <si>
    <t>医療法人　正恵会</t>
    <rPh sb="0" eb="4">
      <t>イリョウホウジン</t>
    </rPh>
    <phoneticPr fontId="18"/>
  </si>
  <si>
    <t>宇土市松山町４４００－２</t>
    <phoneticPr fontId="18"/>
  </si>
  <si>
    <t>宇戸市</t>
    <rPh sb="0" eb="1">
      <t>ウ</t>
    </rPh>
    <rPh sb="1" eb="2">
      <t>コ</t>
    </rPh>
    <rPh sb="2" eb="3">
      <t>シ</t>
    </rPh>
    <phoneticPr fontId="18"/>
  </si>
  <si>
    <t>呼吸器内科</t>
    <rPh sb="0" eb="3">
      <t>コキュウキ</t>
    </rPh>
    <rPh sb="3" eb="5">
      <t>ナイカ</t>
    </rPh>
    <phoneticPr fontId="18"/>
  </si>
  <si>
    <t>○</t>
    <phoneticPr fontId="18"/>
  </si>
  <si>
    <t>腎臓内科、乳腺外科</t>
    <rPh sb="0" eb="4">
      <t>ジンゾウナイカ</t>
    </rPh>
    <rPh sb="5" eb="9">
      <t>ニュウセンゲカ</t>
    </rPh>
    <phoneticPr fontId="18"/>
  </si>
  <si>
    <t>上益城郡益城町馬水45番3</t>
    <phoneticPr fontId="18"/>
  </si>
  <si>
    <t>管轄保健所</t>
    <rPh sb="2" eb="5">
      <t>ホケンショ</t>
    </rPh>
    <phoneticPr fontId="18"/>
  </si>
  <si>
    <t>郵便番号</t>
    <phoneticPr fontId="18"/>
  </si>
  <si>
    <t>電話番号</t>
    <phoneticPr fontId="18"/>
  </si>
  <si>
    <t>開設者名</t>
    <rPh sb="3" eb="4">
      <t>メイ</t>
    </rPh>
    <phoneticPr fontId="18"/>
  </si>
  <si>
    <t>開設年月日</t>
    <rPh sb="2" eb="4">
      <t>ネンガツ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</si>
</sst>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○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vertical="center" textRotation="255"/>
    </xf>
    <xf numFmtId="0" fontId="0" fillId="33" borderId="12" xfId="0" applyFill="1" applyBorder="1" applyAlignment="1">
      <alignment vertical="center" textRotation="255"/>
    </xf>
    <xf numFmtId="0" fontId="0" fillId="0" borderId="10" xfId="0" applyFill="1" applyBorder="1">
      <alignment vertical="center"/>
    </xf>
    <xf numFmtId="176" fontId="0" fillId="0" borderId="1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11" xfId="0" applyFill="1" applyBorder="1" applyAlignment="1">
      <alignment horizontal="center" vertical="center" textRotation="255"/>
    </xf>
    <xf numFmtId="0" fontId="0" fillId="33" borderId="12" xfId="0" applyFill="1" applyBorder="1" applyAlignment="1">
      <alignment horizontal="center" vertical="center" textRotation="255"/>
    </xf>
    <xf numFmtId="0" fontId="0" fillId="33" borderId="10" xfId="0" applyFill="1" applyBorder="1" applyAlignment="1">
      <alignment horizontal="center" vertical="center" textRotation="255"/>
    </xf>
    <xf numFmtId="0" fontId="0" fillId="33" borderId="11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806"/>
  <sheetViews>
    <sheetView tabSelected="1" zoomScale="71" zoomScaleNormal="71" workbookViewId="0">
      <selection activeCell="D13" sqref="D13"/>
    </sheetView>
  </sheetViews>
  <sheetFormatPr defaultRowHeight="18.75" x14ac:dyDescent="0.4"/>
  <cols>
    <col min="1" max="1" width="5.75" bestFit="1" customWidth="1"/>
    <col min="2" max="2" width="65.5" bestFit="1" customWidth="1"/>
    <col min="3" max="3" width="10" bestFit="1" customWidth="1"/>
    <col min="4" max="4" width="61.125" bestFit="1" customWidth="1"/>
    <col min="5" max="5" width="15.375" bestFit="1" customWidth="1"/>
    <col min="6" max="6" width="52.5" bestFit="1" customWidth="1"/>
    <col min="7" max="7" width="10.625" bestFit="1" customWidth="1"/>
    <col min="8" max="8" width="7.625" bestFit="1" customWidth="1"/>
    <col min="9" max="9" width="5.125" customWidth="1"/>
    <col min="10" max="11" width="10.625" customWidth="1"/>
    <col min="12" max="49" width="5.125" bestFit="1" customWidth="1"/>
    <col min="50" max="50" width="255.625" bestFit="1" customWidth="1"/>
  </cols>
  <sheetData>
    <row r="2" spans="1:50" ht="18.75" customHeight="1" x14ac:dyDescent="0.4">
      <c r="A2" s="8" t="s">
        <v>928</v>
      </c>
      <c r="B2" s="8" t="s">
        <v>0</v>
      </c>
      <c r="C2" s="8" t="s">
        <v>929</v>
      </c>
      <c r="D2" s="8" t="s">
        <v>920</v>
      </c>
      <c r="E2" s="8" t="s">
        <v>930</v>
      </c>
      <c r="F2" s="8" t="s">
        <v>931</v>
      </c>
      <c r="G2" s="8" t="s">
        <v>932</v>
      </c>
      <c r="H2" s="8" t="s">
        <v>1</v>
      </c>
      <c r="I2" s="8" t="s">
        <v>2</v>
      </c>
      <c r="J2" s="11"/>
      <c r="K2" s="12"/>
      <c r="L2" s="10" t="s">
        <v>5</v>
      </c>
      <c r="M2" s="10" t="s">
        <v>6</v>
      </c>
      <c r="N2" s="10" t="s">
        <v>7</v>
      </c>
      <c r="O2" s="10" t="s">
        <v>8</v>
      </c>
      <c r="P2" s="10" t="s">
        <v>9</v>
      </c>
      <c r="Q2" s="10" t="s">
        <v>10</v>
      </c>
      <c r="R2" s="10" t="s">
        <v>11</v>
      </c>
      <c r="S2" s="10" t="s">
        <v>12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17</v>
      </c>
      <c r="Y2" s="10" t="s">
        <v>18</v>
      </c>
      <c r="Z2" s="10" t="s">
        <v>19</v>
      </c>
      <c r="AA2" s="10" t="s">
        <v>20</v>
      </c>
      <c r="AB2" s="10" t="s">
        <v>21</v>
      </c>
      <c r="AC2" s="10" t="s">
        <v>22</v>
      </c>
      <c r="AD2" s="10" t="s">
        <v>23</v>
      </c>
      <c r="AE2" s="10" t="s">
        <v>24</v>
      </c>
      <c r="AF2" s="10" t="s">
        <v>25</v>
      </c>
      <c r="AG2" s="10" t="s">
        <v>26</v>
      </c>
      <c r="AH2" s="10" t="s">
        <v>27</v>
      </c>
      <c r="AI2" s="10" t="s">
        <v>28</v>
      </c>
      <c r="AJ2" s="10" t="s">
        <v>29</v>
      </c>
      <c r="AK2" s="10" t="s">
        <v>30</v>
      </c>
      <c r="AL2" s="10" t="s">
        <v>31</v>
      </c>
      <c r="AM2" s="10" t="s">
        <v>32</v>
      </c>
      <c r="AN2" s="10" t="s">
        <v>33</v>
      </c>
      <c r="AO2" s="10" t="s">
        <v>34</v>
      </c>
      <c r="AP2" s="10" t="s">
        <v>35</v>
      </c>
      <c r="AQ2" s="10" t="s">
        <v>36</v>
      </c>
      <c r="AR2" s="10" t="s">
        <v>37</v>
      </c>
      <c r="AS2" s="10" t="s">
        <v>38</v>
      </c>
      <c r="AT2" s="10" t="s">
        <v>39</v>
      </c>
      <c r="AU2" s="10" t="s">
        <v>40</v>
      </c>
      <c r="AV2" s="10" t="s">
        <v>41</v>
      </c>
      <c r="AW2" s="10" t="s">
        <v>42</v>
      </c>
      <c r="AX2" s="10" t="s">
        <v>43</v>
      </c>
    </row>
    <row r="3" spans="1:50" ht="189" x14ac:dyDescent="0.4">
      <c r="A3" s="9"/>
      <c r="B3" s="9"/>
      <c r="C3" s="9"/>
      <c r="D3" s="9"/>
      <c r="E3" s="9"/>
      <c r="F3" s="9"/>
      <c r="G3" s="9"/>
      <c r="H3" s="9"/>
      <c r="I3" s="9"/>
      <c r="J3" s="4" t="s">
        <v>3</v>
      </c>
      <c r="K3" s="3" t="s">
        <v>4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x14ac:dyDescent="0.4">
      <c r="A4" s="1" t="str">
        <f t="shared" ref="A4:A42" si="0">"山鹿"</f>
        <v>山鹿</v>
      </c>
      <c r="B4" s="1" t="str">
        <f>"うちだ内科医院"</f>
        <v>うちだ内科医院</v>
      </c>
      <c r="C4" s="1" t="str">
        <f>"861-0501"</f>
        <v>861-0501</v>
      </c>
      <c r="D4" s="1" t="s">
        <v>119</v>
      </c>
      <c r="E4" s="1" t="str">
        <f>"0968445800    "</f>
        <v xml:space="preserve">0968445800    </v>
      </c>
      <c r="F4" s="1" t="str">
        <f>"医療法人社団博英会"</f>
        <v>医療法人社団博英会</v>
      </c>
      <c r="G4" s="1" t="str">
        <f>"H02.03.01"</f>
        <v>H02.03.01</v>
      </c>
      <c r="H4" s="1" t="str">
        <f t="shared" ref="H4:H28" si="1">"開設中"</f>
        <v>開設中</v>
      </c>
      <c r="I4" s="1">
        <v>17</v>
      </c>
      <c r="J4" s="1">
        <v>17</v>
      </c>
      <c r="K4" s="1">
        <v>0</v>
      </c>
      <c r="L4" s="2">
        <v>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1" t="s">
        <v>44</v>
      </c>
    </row>
    <row r="5" spans="1:50" x14ac:dyDescent="0.4">
      <c r="A5" s="1" t="str">
        <f t="shared" si="0"/>
        <v>山鹿</v>
      </c>
      <c r="B5" s="1" t="str">
        <f>"大坂整形外科医院"</f>
        <v>大坂整形外科医院</v>
      </c>
      <c r="C5" s="1" t="str">
        <f>"861-0511"</f>
        <v>861-0511</v>
      </c>
      <c r="D5" s="1" t="s">
        <v>120</v>
      </c>
      <c r="E5" s="1" t="str">
        <f>"0968431500    "</f>
        <v xml:space="preserve">0968431500    </v>
      </c>
      <c r="F5" s="1" t="str">
        <f>"医療法人社団征栄会"</f>
        <v>医療法人社団征栄会</v>
      </c>
      <c r="G5" s="1" t="str">
        <f>"H01.09.01"</f>
        <v>H01.09.01</v>
      </c>
      <c r="H5" s="1" t="str">
        <f t="shared" si="1"/>
        <v>開設中</v>
      </c>
      <c r="I5" s="1">
        <v>0</v>
      </c>
      <c r="J5" s="1">
        <v>0</v>
      </c>
      <c r="K5" s="1"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>
        <v>1</v>
      </c>
      <c r="W5" s="2"/>
      <c r="X5" s="2"/>
      <c r="Y5" s="2">
        <v>1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>
        <v>1</v>
      </c>
      <c r="AR5" s="2"/>
      <c r="AS5" s="2"/>
      <c r="AT5" s="2"/>
      <c r="AU5" s="2"/>
      <c r="AV5" s="2"/>
      <c r="AW5" s="2"/>
      <c r="AX5" s="1"/>
    </row>
    <row r="6" spans="1:50" x14ac:dyDescent="0.4">
      <c r="A6" s="1" t="str">
        <f t="shared" si="0"/>
        <v>山鹿</v>
      </c>
      <c r="B6" s="1" t="str">
        <f>"大坪内科呼吸器科医院"</f>
        <v>大坪内科呼吸器科医院</v>
      </c>
      <c r="C6" s="1" t="str">
        <f>"861-0515"</f>
        <v>861-0515</v>
      </c>
      <c r="D6" s="1" t="s">
        <v>121</v>
      </c>
      <c r="E6" s="1" t="str">
        <f>"0968447722    "</f>
        <v xml:space="preserve">0968447722    </v>
      </c>
      <c r="F6" s="1" t="str">
        <f>"医療法人社団信栄会"</f>
        <v>医療法人社団信栄会</v>
      </c>
      <c r="G6" s="1" t="str">
        <f>"H11.04.01"</f>
        <v>H11.04.01</v>
      </c>
      <c r="H6" s="1" t="str">
        <f t="shared" si="1"/>
        <v>開設中</v>
      </c>
      <c r="I6" s="1">
        <v>0</v>
      </c>
      <c r="J6" s="1">
        <v>0</v>
      </c>
      <c r="K6" s="1">
        <v>0</v>
      </c>
      <c r="L6" s="2">
        <v>1</v>
      </c>
      <c r="M6" s="2"/>
      <c r="N6" s="2"/>
      <c r="O6" s="2"/>
      <c r="P6" s="2"/>
      <c r="Q6" s="2">
        <v>1</v>
      </c>
      <c r="R6" s="2">
        <v>1</v>
      </c>
      <c r="S6" s="2"/>
      <c r="T6" s="2">
        <v>1</v>
      </c>
      <c r="U6" s="2"/>
      <c r="V6" s="2"/>
      <c r="W6" s="2">
        <v>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"/>
    </row>
    <row r="7" spans="1:50" x14ac:dyDescent="0.4">
      <c r="A7" s="1" t="str">
        <f t="shared" si="0"/>
        <v>山鹿</v>
      </c>
      <c r="B7" s="1" t="str">
        <f>"軽費老人ホーム愛隣荘"</f>
        <v>軽費老人ホーム愛隣荘</v>
      </c>
      <c r="C7" s="1" t="str">
        <f>"861-0551"</f>
        <v>861-0551</v>
      </c>
      <c r="D7" s="1" t="s">
        <v>122</v>
      </c>
      <c r="E7" s="1" t="str">
        <f>"0968432772    "</f>
        <v xml:space="preserve">0968432772    </v>
      </c>
      <c r="F7" s="1" t="str">
        <f>"社会福祉法人愛隣園"</f>
        <v>社会福祉法人愛隣園</v>
      </c>
      <c r="G7" s="1" t="str">
        <f>"H03.09.01"</f>
        <v>H03.09.01</v>
      </c>
      <c r="H7" s="1" t="str">
        <f t="shared" si="1"/>
        <v>開設中</v>
      </c>
      <c r="I7" s="1">
        <v>0</v>
      </c>
      <c r="J7" s="1">
        <v>0</v>
      </c>
      <c r="K7" s="1">
        <v>0</v>
      </c>
      <c r="L7" s="2">
        <v>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1"/>
    </row>
    <row r="8" spans="1:50" x14ac:dyDescent="0.4">
      <c r="A8" s="1" t="str">
        <f t="shared" si="0"/>
        <v>山鹿</v>
      </c>
      <c r="B8" s="1" t="str">
        <f>"後藤整形外科医院"</f>
        <v>後藤整形外科医院</v>
      </c>
      <c r="C8" s="1" t="str">
        <f>"861-0501"</f>
        <v>861-0501</v>
      </c>
      <c r="D8" s="1" t="s">
        <v>123</v>
      </c>
      <c r="E8" s="1" t="str">
        <f>"0968443245    "</f>
        <v xml:space="preserve">0968443245    </v>
      </c>
      <c r="F8" s="1" t="str">
        <f>"医療法人社団清風会"</f>
        <v>医療法人社団清風会</v>
      </c>
      <c r="G8" s="1" t="str">
        <f>"H02.01.01"</f>
        <v>H02.01.01</v>
      </c>
      <c r="H8" s="1" t="str">
        <f t="shared" si="1"/>
        <v>開設中</v>
      </c>
      <c r="I8" s="1">
        <v>0</v>
      </c>
      <c r="J8" s="1">
        <v>0</v>
      </c>
      <c r="K8" s="1"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>
        <v>1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>
        <v>1</v>
      </c>
      <c r="AR8" s="2"/>
      <c r="AS8" s="2"/>
      <c r="AT8" s="2"/>
      <c r="AU8" s="2"/>
      <c r="AV8" s="2"/>
      <c r="AW8" s="2"/>
      <c r="AX8" s="1"/>
    </row>
    <row r="9" spans="1:50" x14ac:dyDescent="0.4">
      <c r="A9" s="1" t="str">
        <f t="shared" si="0"/>
        <v>山鹿</v>
      </c>
      <c r="B9" s="1" t="str">
        <f>"さがわ医院"</f>
        <v>さがわ医院</v>
      </c>
      <c r="C9" s="1" t="str">
        <f>"861-0501"</f>
        <v>861-0501</v>
      </c>
      <c r="D9" s="1" t="s">
        <v>124</v>
      </c>
      <c r="E9" s="1" t="str">
        <f>"0968442540    "</f>
        <v xml:space="preserve">0968442540    </v>
      </c>
      <c r="F9" s="1" t="str">
        <f>"佐川　博文"</f>
        <v>佐川　博文</v>
      </c>
      <c r="G9" s="1" t="str">
        <f>"H10.12.17"</f>
        <v>H10.12.17</v>
      </c>
      <c r="H9" s="1" t="str">
        <f t="shared" si="1"/>
        <v>開設中</v>
      </c>
      <c r="I9" s="1">
        <v>0</v>
      </c>
      <c r="J9" s="1">
        <v>0</v>
      </c>
      <c r="K9" s="1">
        <v>0</v>
      </c>
      <c r="L9" s="2">
        <v>1</v>
      </c>
      <c r="M9" s="2"/>
      <c r="N9" s="2"/>
      <c r="O9" s="2"/>
      <c r="P9" s="2"/>
      <c r="Q9" s="2"/>
      <c r="R9" s="2"/>
      <c r="S9" s="2">
        <v>1</v>
      </c>
      <c r="T9" s="2"/>
      <c r="U9" s="2"/>
      <c r="V9" s="2"/>
      <c r="W9" s="2"/>
      <c r="X9" s="2">
        <v>1</v>
      </c>
      <c r="Y9" s="2"/>
      <c r="Z9" s="2"/>
      <c r="AA9" s="2"/>
      <c r="AB9" s="2"/>
      <c r="AC9" s="2"/>
      <c r="AD9" s="2"/>
      <c r="AE9" s="2"/>
      <c r="AF9" s="2"/>
      <c r="AG9" s="2">
        <v>1</v>
      </c>
      <c r="AH9" s="2"/>
      <c r="AI9" s="2"/>
      <c r="AJ9" s="2"/>
      <c r="AK9" s="2"/>
      <c r="AL9" s="2"/>
      <c r="AM9" s="2"/>
      <c r="AN9" s="2"/>
      <c r="AO9" s="2"/>
      <c r="AP9" s="2"/>
      <c r="AQ9" s="2">
        <v>1</v>
      </c>
      <c r="AR9" s="2"/>
      <c r="AS9" s="2"/>
      <c r="AT9" s="2"/>
      <c r="AU9" s="2"/>
      <c r="AV9" s="2"/>
      <c r="AW9" s="2"/>
      <c r="AX9" s="1"/>
    </row>
    <row r="10" spans="1:50" x14ac:dyDescent="0.4">
      <c r="A10" s="1" t="str">
        <f t="shared" si="0"/>
        <v>山鹿</v>
      </c>
      <c r="B10" s="1" t="str">
        <f>"障害者支援施設　愛隣館"</f>
        <v>障害者支援施設　愛隣館</v>
      </c>
      <c r="C10" s="1" t="str">
        <f>"861-0551"</f>
        <v>861-0551</v>
      </c>
      <c r="D10" s="1" t="s">
        <v>125</v>
      </c>
      <c r="E10" s="1" t="str">
        <f>"0968432771    "</f>
        <v xml:space="preserve">0968432771    </v>
      </c>
      <c r="F10" s="1" t="str">
        <f>"社会福祉法人　愛隣園"</f>
        <v>社会福祉法人　愛隣園</v>
      </c>
      <c r="G10" s="1" t="str">
        <f>"S63.10.04"</f>
        <v>S63.10.04</v>
      </c>
      <c r="H10" s="1" t="str">
        <f t="shared" si="1"/>
        <v>開設中</v>
      </c>
      <c r="I10" s="1">
        <v>0</v>
      </c>
      <c r="J10" s="1">
        <v>0</v>
      </c>
      <c r="K10" s="1">
        <v>0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1"/>
    </row>
    <row r="11" spans="1:50" x14ac:dyDescent="0.4">
      <c r="A11" s="1" t="str">
        <f t="shared" si="0"/>
        <v>山鹿</v>
      </c>
      <c r="B11" s="1" t="str">
        <f>"徳永内科小児科クリニック"</f>
        <v>徳永内科小児科クリニック</v>
      </c>
      <c r="C11" s="1" t="str">
        <f>"861-0501"</f>
        <v>861-0501</v>
      </c>
      <c r="D11" s="1" t="s">
        <v>126</v>
      </c>
      <c r="E11" s="1" t="str">
        <f>"0968443111    "</f>
        <v xml:space="preserve">0968443111    </v>
      </c>
      <c r="F11" s="1" t="str">
        <f>"医療法人山鹿慈恵会"</f>
        <v>医療法人山鹿慈恵会</v>
      </c>
      <c r="G11" s="1" t="str">
        <f>"S63.05.01"</f>
        <v>S63.05.01</v>
      </c>
      <c r="H11" s="1" t="str">
        <f t="shared" si="1"/>
        <v>開設中</v>
      </c>
      <c r="I11" s="1">
        <v>0</v>
      </c>
      <c r="J11" s="1">
        <v>0</v>
      </c>
      <c r="K11" s="1">
        <v>0</v>
      </c>
      <c r="L11" s="2">
        <v>1</v>
      </c>
      <c r="M11" s="2"/>
      <c r="N11" s="2"/>
      <c r="O11" s="2"/>
      <c r="P11" s="2"/>
      <c r="Q11" s="2">
        <v>1</v>
      </c>
      <c r="R11" s="2">
        <v>1</v>
      </c>
      <c r="S11" s="2"/>
      <c r="T11" s="2">
        <v>1</v>
      </c>
      <c r="U11" s="2"/>
      <c r="V11" s="2"/>
      <c r="W11" s="2">
        <v>1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v>1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1"/>
    </row>
    <row r="12" spans="1:50" x14ac:dyDescent="0.4">
      <c r="A12" s="1" t="str">
        <f t="shared" si="0"/>
        <v>山鹿</v>
      </c>
      <c r="B12" s="1" t="str">
        <f>"特別養護老人ホーム　愛隣の家"</f>
        <v>特別養護老人ホーム　愛隣の家</v>
      </c>
      <c r="C12" s="1" t="str">
        <f>"861-0551"</f>
        <v>861-0551</v>
      </c>
      <c r="D12" s="1" t="s">
        <v>127</v>
      </c>
      <c r="E12" s="1" t="str">
        <f>"0968432770    "</f>
        <v xml:space="preserve">0968432770    </v>
      </c>
      <c r="F12" s="1" t="str">
        <f>"社会福祉法人愛隣園"</f>
        <v>社会福祉法人愛隣園</v>
      </c>
      <c r="G12" s="1" t="str">
        <f>"H05.09.17"</f>
        <v>H05.09.17</v>
      </c>
      <c r="H12" s="1" t="str">
        <f t="shared" si="1"/>
        <v>開設中</v>
      </c>
      <c r="I12" s="1">
        <v>0</v>
      </c>
      <c r="J12" s="1">
        <v>0</v>
      </c>
      <c r="K12" s="1">
        <v>0</v>
      </c>
      <c r="L12" s="2">
        <v>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1"/>
    </row>
    <row r="13" spans="1:50" x14ac:dyDescent="0.4">
      <c r="A13" s="1" t="str">
        <f t="shared" si="0"/>
        <v>山鹿</v>
      </c>
      <c r="B13" s="1" t="str">
        <f>"特別養護老人ホーム　チブサン荘"</f>
        <v>特別養護老人ホーム　チブサン荘</v>
      </c>
      <c r="C13" s="1" t="str">
        <f>"861-0541"</f>
        <v>861-0541</v>
      </c>
      <c r="D13" s="1" t="s">
        <v>128</v>
      </c>
      <c r="E13" s="1" t="str">
        <f>"0968436711    "</f>
        <v xml:space="preserve">0968436711    </v>
      </c>
      <c r="F13" s="1" t="str">
        <f>"社会福祉法人　山鹿むつみ福祉会"</f>
        <v>社会福祉法人　山鹿むつみ福祉会</v>
      </c>
      <c r="G13" s="1" t="str">
        <f>"S57.04.01"</f>
        <v>S57.04.01</v>
      </c>
      <c r="H13" s="1" t="str">
        <f t="shared" si="1"/>
        <v>開設中</v>
      </c>
      <c r="I13" s="1">
        <v>0</v>
      </c>
      <c r="J13" s="1">
        <v>0</v>
      </c>
      <c r="K13" s="1">
        <v>0</v>
      </c>
      <c r="L13" s="2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1"/>
    </row>
    <row r="14" spans="1:50" x14ac:dyDescent="0.4">
      <c r="A14" s="1" t="str">
        <f t="shared" si="0"/>
        <v>山鹿</v>
      </c>
      <c r="B14" s="1" t="str">
        <f>"星田内科医院"</f>
        <v>星田内科医院</v>
      </c>
      <c r="C14" s="1" t="str">
        <f>"861-0511"</f>
        <v>861-0511</v>
      </c>
      <c r="D14" s="1" t="s">
        <v>129</v>
      </c>
      <c r="E14" s="1" t="str">
        <f>"0968437100    "</f>
        <v xml:space="preserve">0968437100    </v>
      </c>
      <c r="F14" s="1" t="str">
        <f>"星田　正勝"</f>
        <v>星田　正勝</v>
      </c>
      <c r="G14" s="1" t="str">
        <f>"S55.04.30"</f>
        <v>S55.04.30</v>
      </c>
      <c r="H14" s="1" t="str">
        <f t="shared" si="1"/>
        <v>開設中</v>
      </c>
      <c r="I14" s="1">
        <v>0</v>
      </c>
      <c r="J14" s="1">
        <v>0</v>
      </c>
      <c r="K14" s="1">
        <v>0</v>
      </c>
      <c r="L14" s="2">
        <v>1</v>
      </c>
      <c r="M14" s="2"/>
      <c r="N14" s="2"/>
      <c r="O14" s="2"/>
      <c r="P14" s="2"/>
      <c r="Q14" s="2">
        <v>1</v>
      </c>
      <c r="R14" s="2">
        <v>1</v>
      </c>
      <c r="S14" s="2"/>
      <c r="T14" s="2">
        <v>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1"/>
    </row>
    <row r="15" spans="1:50" x14ac:dyDescent="0.4">
      <c r="A15" s="1" t="str">
        <f t="shared" si="0"/>
        <v>山鹿</v>
      </c>
      <c r="B15" s="1" t="str">
        <f>"前原耳鼻咽喉科医院"</f>
        <v>前原耳鼻咽喉科医院</v>
      </c>
      <c r="C15" s="1" t="str">
        <f>"861-0515"</f>
        <v>861-0515</v>
      </c>
      <c r="D15" s="1" t="s">
        <v>130</v>
      </c>
      <c r="E15" s="1" t="str">
        <f>"0968442019    "</f>
        <v xml:space="preserve">0968442019    </v>
      </c>
      <c r="F15" s="1" t="str">
        <f>"医療法人祐恵会前原耳鼻咽喉科医院"</f>
        <v>医療法人祐恵会前原耳鼻咽喉科医院</v>
      </c>
      <c r="G15" s="1" t="str">
        <f>"H03.08.01"</f>
        <v>H03.08.01</v>
      </c>
      <c r="H15" s="1" t="str">
        <f t="shared" si="1"/>
        <v>開設中</v>
      </c>
      <c r="I15" s="1">
        <v>0</v>
      </c>
      <c r="J15" s="1">
        <v>0</v>
      </c>
      <c r="K15" s="1"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v>1</v>
      </c>
      <c r="AP15" s="2"/>
      <c r="AQ15" s="2"/>
      <c r="AR15" s="2"/>
      <c r="AS15" s="2"/>
      <c r="AT15" s="2"/>
      <c r="AU15" s="2"/>
      <c r="AV15" s="2"/>
      <c r="AW15" s="2"/>
      <c r="AX15" s="1"/>
    </row>
    <row r="16" spans="1:50" x14ac:dyDescent="0.4">
      <c r="A16" s="1" t="str">
        <f t="shared" si="0"/>
        <v>山鹿</v>
      </c>
      <c r="B16" s="1" t="str">
        <f>"松永整形外科リウマチ科"</f>
        <v>松永整形外科リウマチ科</v>
      </c>
      <c r="C16" s="1" t="str">
        <f>"861-0382"</f>
        <v>861-0382</v>
      </c>
      <c r="D16" s="1" t="s">
        <v>131</v>
      </c>
      <c r="E16" s="1" t="str">
        <f>"0968421611    "</f>
        <v xml:space="preserve">0968421611    </v>
      </c>
      <c r="F16" s="1" t="str">
        <f>"医療法人松永会"</f>
        <v>医療法人松永会</v>
      </c>
      <c r="G16" s="1" t="str">
        <f>"H13.12.01"</f>
        <v>H13.12.01</v>
      </c>
      <c r="H16" s="1" t="str">
        <f t="shared" si="1"/>
        <v>開設中</v>
      </c>
      <c r="I16" s="1">
        <v>0</v>
      </c>
      <c r="J16" s="1">
        <v>0</v>
      </c>
      <c r="K16" s="1">
        <v>0</v>
      </c>
      <c r="L16" s="2">
        <v>1</v>
      </c>
      <c r="M16" s="2"/>
      <c r="N16" s="2"/>
      <c r="O16" s="2"/>
      <c r="P16" s="2"/>
      <c r="Q16" s="2"/>
      <c r="R16" s="2"/>
      <c r="S16" s="2"/>
      <c r="T16" s="2"/>
      <c r="U16" s="2"/>
      <c r="V16" s="2">
        <v>1</v>
      </c>
      <c r="W16" s="2"/>
      <c r="X16" s="2">
        <v>1</v>
      </c>
      <c r="Y16" s="2">
        <v>1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>
        <v>1</v>
      </c>
      <c r="AR16" s="2"/>
      <c r="AS16" s="2"/>
      <c r="AT16" s="2"/>
      <c r="AU16" s="2"/>
      <c r="AV16" s="2"/>
      <c r="AW16" s="2"/>
      <c r="AX16" s="1"/>
    </row>
    <row r="17" spans="1:50" x14ac:dyDescent="0.4">
      <c r="A17" s="1" t="str">
        <f t="shared" si="0"/>
        <v>山鹿</v>
      </c>
      <c r="B17" s="1" t="str">
        <f>"小林医院"</f>
        <v>小林医院</v>
      </c>
      <c r="C17" s="1" t="str">
        <f>"861-0601"</f>
        <v>861-0601</v>
      </c>
      <c r="D17" s="1" t="s">
        <v>132</v>
      </c>
      <c r="E17" s="1" t="str">
        <f>"0968323893    "</f>
        <v xml:space="preserve">0968323893    </v>
      </c>
      <c r="F17" s="1" t="str">
        <f>"医療法人社団小林会"</f>
        <v>医療法人社団小林会</v>
      </c>
      <c r="G17" s="1" t="str">
        <f>"H09.07.01"</f>
        <v>H09.07.01</v>
      </c>
      <c r="H17" s="1" t="str">
        <f t="shared" si="1"/>
        <v>開設中</v>
      </c>
      <c r="I17" s="1">
        <v>0</v>
      </c>
      <c r="J17" s="1">
        <v>0</v>
      </c>
      <c r="K17" s="1">
        <v>0</v>
      </c>
      <c r="L17" s="2">
        <v>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v>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>
        <v>1</v>
      </c>
      <c r="AX17" s="1"/>
    </row>
    <row r="18" spans="1:50" x14ac:dyDescent="0.4">
      <c r="A18" s="1" t="str">
        <f t="shared" si="0"/>
        <v>山鹿</v>
      </c>
      <c r="B18" s="1" t="str">
        <f>"特別養護老人ホームあやすぎ荘"</f>
        <v>特別養護老人ホームあやすぎ荘</v>
      </c>
      <c r="C18" s="1" t="str">
        <f>"861-0603"</f>
        <v>861-0603</v>
      </c>
      <c r="D18" s="1" t="s">
        <v>133</v>
      </c>
      <c r="E18" s="1" t="str">
        <f>"0968322117    "</f>
        <v xml:space="preserve">0968322117    </v>
      </c>
      <c r="F18" s="1" t="str">
        <f>"社会福祉法人平成会"</f>
        <v>社会福祉法人平成会</v>
      </c>
      <c r="G18" s="1" t="str">
        <f>"H02.04.01"</f>
        <v>H02.04.01</v>
      </c>
      <c r="H18" s="1" t="str">
        <f t="shared" si="1"/>
        <v>開設中</v>
      </c>
      <c r="I18" s="1">
        <v>0</v>
      </c>
      <c r="J18" s="1">
        <v>0</v>
      </c>
      <c r="K18" s="1">
        <v>0</v>
      </c>
      <c r="L18" s="2">
        <v>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1"/>
    </row>
    <row r="19" spans="1:50" x14ac:dyDescent="0.4">
      <c r="A19" s="1" t="str">
        <f t="shared" si="0"/>
        <v>山鹿</v>
      </c>
      <c r="B19" s="1" t="str">
        <f>"きくか松岡クリニック"</f>
        <v>きくか松岡クリニック</v>
      </c>
      <c r="C19" s="1" t="str">
        <f>"861-0422"</f>
        <v>861-0422</v>
      </c>
      <c r="D19" s="1" t="s">
        <v>134</v>
      </c>
      <c r="E19" s="1" t="str">
        <f>"0968482055    "</f>
        <v xml:space="preserve">0968482055    </v>
      </c>
      <c r="F19" s="1" t="str">
        <f>"松岡　三正"</f>
        <v>松岡　三正</v>
      </c>
      <c r="G19" s="1" t="str">
        <f>"H12.04.05"</f>
        <v>H12.04.05</v>
      </c>
      <c r="H19" s="1" t="str">
        <f t="shared" si="1"/>
        <v>開設中</v>
      </c>
      <c r="I19" s="1">
        <v>0</v>
      </c>
      <c r="J19" s="1">
        <v>0</v>
      </c>
      <c r="K19" s="1">
        <v>0</v>
      </c>
      <c r="L19" s="2">
        <v>1</v>
      </c>
      <c r="M19" s="2"/>
      <c r="N19" s="2"/>
      <c r="O19" s="2"/>
      <c r="P19" s="2"/>
      <c r="Q19" s="2"/>
      <c r="R19" s="2">
        <v>1</v>
      </c>
      <c r="S19" s="2"/>
      <c r="T19" s="2"/>
      <c r="U19" s="2"/>
      <c r="V19" s="2"/>
      <c r="W19" s="2">
        <v>1</v>
      </c>
      <c r="X19" s="2">
        <v>1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v>1</v>
      </c>
      <c r="AJ19" s="2">
        <v>1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1"/>
    </row>
    <row r="20" spans="1:50" x14ac:dyDescent="0.4">
      <c r="A20" s="1" t="str">
        <f t="shared" si="0"/>
        <v>山鹿</v>
      </c>
      <c r="B20" s="1" t="str">
        <f>"特別養護老人ホーム　矢筈荘"</f>
        <v>特別養護老人ホーム　矢筈荘</v>
      </c>
      <c r="C20" s="1" t="str">
        <f>"861-0401"</f>
        <v>861-0401</v>
      </c>
      <c r="D20" s="1" t="s">
        <v>135</v>
      </c>
      <c r="E20" s="1" t="str">
        <f>"0968482111    "</f>
        <v xml:space="preserve">0968482111    </v>
      </c>
      <c r="F20" s="1" t="str">
        <f>"社会福祉法人菊寿会"</f>
        <v>社会福祉法人菊寿会</v>
      </c>
      <c r="G20" s="1" t="str">
        <f>"H05.04.01"</f>
        <v>H05.04.01</v>
      </c>
      <c r="H20" s="1" t="str">
        <f t="shared" si="1"/>
        <v>開設中</v>
      </c>
      <c r="I20" s="1">
        <v>0</v>
      </c>
      <c r="J20" s="1">
        <v>0</v>
      </c>
      <c r="K20" s="1">
        <v>0</v>
      </c>
      <c r="L20" s="2">
        <v>1</v>
      </c>
      <c r="M20" s="2"/>
      <c r="N20" s="2"/>
      <c r="O20" s="2"/>
      <c r="P20" s="2"/>
      <c r="Q20" s="2"/>
      <c r="R20" s="2">
        <v>1</v>
      </c>
      <c r="S20" s="2"/>
      <c r="T20" s="2"/>
      <c r="U20" s="2"/>
      <c r="V20" s="2"/>
      <c r="W20" s="2"/>
      <c r="X20" s="2">
        <v>1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v>1</v>
      </c>
      <c r="AJ20" s="2">
        <v>1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1"/>
    </row>
    <row r="21" spans="1:50" x14ac:dyDescent="0.4">
      <c r="A21" s="1" t="str">
        <f t="shared" si="0"/>
        <v>山鹿</v>
      </c>
      <c r="B21" s="1" t="str">
        <f>"桑木内科"</f>
        <v>桑木内科</v>
      </c>
      <c r="C21" s="1" t="str">
        <f>"861-0304"</f>
        <v>861-0304</v>
      </c>
      <c r="D21" s="1" t="s">
        <v>136</v>
      </c>
      <c r="E21" s="1" t="str">
        <f>"0968462063    "</f>
        <v xml:space="preserve">0968462063    </v>
      </c>
      <c r="F21" s="1" t="str">
        <f>"桑木　敏光"</f>
        <v>桑木　敏光</v>
      </c>
      <c r="G21" s="1" t="str">
        <f>"H06.03.01"</f>
        <v>H06.03.01</v>
      </c>
      <c r="H21" s="1" t="str">
        <f t="shared" si="1"/>
        <v>開設中</v>
      </c>
      <c r="I21" s="1">
        <v>0</v>
      </c>
      <c r="J21" s="1">
        <v>0</v>
      </c>
      <c r="K21" s="1">
        <v>0</v>
      </c>
      <c r="L21" s="2">
        <v>1</v>
      </c>
      <c r="M21" s="2"/>
      <c r="N21" s="2"/>
      <c r="O21" s="2"/>
      <c r="P21" s="2"/>
      <c r="Q21" s="2"/>
      <c r="R21" s="2">
        <v>1</v>
      </c>
      <c r="S21" s="2"/>
      <c r="T21" s="2">
        <v>1</v>
      </c>
      <c r="U21" s="2"/>
      <c r="V21" s="2"/>
      <c r="W21" s="2">
        <v>1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1"/>
    </row>
    <row r="22" spans="1:50" x14ac:dyDescent="0.4">
      <c r="A22" s="1" t="str">
        <f t="shared" si="0"/>
        <v>山鹿</v>
      </c>
      <c r="B22" s="1" t="str">
        <f>"武内医院"</f>
        <v>武内医院</v>
      </c>
      <c r="C22" s="1" t="str">
        <f>"861-0331"</f>
        <v>861-0331</v>
      </c>
      <c r="D22" s="1" t="s">
        <v>137</v>
      </c>
      <c r="E22" s="1" t="str">
        <f>"0968462620    "</f>
        <v xml:space="preserve">0968462620    </v>
      </c>
      <c r="F22" s="1" t="str">
        <f>"医療法人春水会"</f>
        <v>医療法人春水会</v>
      </c>
      <c r="G22" s="1" t="str">
        <f>"H14.09.29"</f>
        <v>H14.09.29</v>
      </c>
      <c r="H22" s="1" t="str">
        <f t="shared" si="1"/>
        <v>開設中</v>
      </c>
      <c r="I22" s="1">
        <v>19</v>
      </c>
      <c r="J22" s="1">
        <v>15</v>
      </c>
      <c r="K22" s="1">
        <v>4</v>
      </c>
      <c r="L22" s="2">
        <v>1</v>
      </c>
      <c r="M22" s="2"/>
      <c r="N22" s="2"/>
      <c r="O22" s="2"/>
      <c r="P22" s="2"/>
      <c r="Q22" s="2">
        <v>1</v>
      </c>
      <c r="R22" s="2">
        <v>1</v>
      </c>
      <c r="S22" s="2"/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/>
      <c r="AB22" s="2"/>
      <c r="AC22" s="2"/>
      <c r="AD22" s="2"/>
      <c r="AE22" s="2"/>
      <c r="AF22" s="2"/>
      <c r="AG22" s="2"/>
      <c r="AH22" s="2"/>
      <c r="AI22" s="2">
        <v>1</v>
      </c>
      <c r="AJ22" s="2">
        <v>1</v>
      </c>
      <c r="AK22" s="2"/>
      <c r="AL22" s="2"/>
      <c r="AM22" s="2"/>
      <c r="AN22" s="2"/>
      <c r="AO22" s="2"/>
      <c r="AP22" s="2"/>
      <c r="AQ22" s="2">
        <v>1</v>
      </c>
      <c r="AR22" s="2"/>
      <c r="AS22" s="2"/>
      <c r="AT22" s="2"/>
      <c r="AU22" s="2"/>
      <c r="AV22" s="2"/>
      <c r="AW22" s="2"/>
      <c r="AX22" s="1" t="s">
        <v>45</v>
      </c>
    </row>
    <row r="23" spans="1:50" x14ac:dyDescent="0.4">
      <c r="A23" s="1" t="str">
        <f t="shared" si="0"/>
        <v>山鹿</v>
      </c>
      <c r="B23" s="1" t="str">
        <f>"特別養護老人ホーム一本松荘診療所"</f>
        <v>特別養護老人ホーム一本松荘診療所</v>
      </c>
      <c r="C23" s="1" t="str">
        <f>"861-0302"</f>
        <v>861-0302</v>
      </c>
      <c r="D23" s="1" t="s">
        <v>138</v>
      </c>
      <c r="E23" s="1" t="str">
        <f>"0968462524    "</f>
        <v xml:space="preserve">0968462524    </v>
      </c>
      <c r="F23" s="1" t="str">
        <f>"社会福祉法人不動会"</f>
        <v>社会福祉法人不動会</v>
      </c>
      <c r="G23" s="1" t="str">
        <f>"S47.05.24"</f>
        <v>S47.05.24</v>
      </c>
      <c r="H23" s="1" t="str">
        <f t="shared" si="1"/>
        <v>開設中</v>
      </c>
      <c r="I23" s="1">
        <v>0</v>
      </c>
      <c r="J23" s="1">
        <v>0</v>
      </c>
      <c r="K23" s="1">
        <v>0</v>
      </c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1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1"/>
    </row>
    <row r="24" spans="1:50" x14ac:dyDescent="0.4">
      <c r="A24" s="1" t="str">
        <f t="shared" si="0"/>
        <v>山鹿</v>
      </c>
      <c r="B24" s="1" t="str">
        <f>"冨田クリニック"</f>
        <v>冨田クリニック</v>
      </c>
      <c r="C24" s="1" t="str">
        <f>"861-0302"</f>
        <v>861-0302</v>
      </c>
      <c r="D24" s="1" t="s">
        <v>139</v>
      </c>
      <c r="E24" s="1" t="str">
        <f>"0968462121    "</f>
        <v xml:space="preserve">0968462121    </v>
      </c>
      <c r="F24" s="1" t="str">
        <f>"医療法人社団冨田会"</f>
        <v>医療法人社団冨田会</v>
      </c>
      <c r="G24" s="1" t="str">
        <f>"H05.01.01"</f>
        <v>H05.01.01</v>
      </c>
      <c r="H24" s="1" t="str">
        <f t="shared" si="1"/>
        <v>開設中</v>
      </c>
      <c r="I24" s="1">
        <v>0</v>
      </c>
      <c r="J24" s="1">
        <v>0</v>
      </c>
      <c r="K24" s="1">
        <v>0</v>
      </c>
      <c r="L24" s="2">
        <v>1</v>
      </c>
      <c r="M24" s="2"/>
      <c r="N24" s="2"/>
      <c r="O24" s="2"/>
      <c r="P24" s="2"/>
      <c r="Q24" s="2"/>
      <c r="R24" s="2">
        <v>1</v>
      </c>
      <c r="S24" s="2"/>
      <c r="T24" s="2"/>
      <c r="U24" s="2"/>
      <c r="V24" s="2"/>
      <c r="W24" s="2"/>
      <c r="X24" s="2">
        <v>1</v>
      </c>
      <c r="Y24" s="2">
        <v>1</v>
      </c>
      <c r="Z24" s="2"/>
      <c r="AA24" s="2"/>
      <c r="AB24" s="2"/>
      <c r="AC24" s="2"/>
      <c r="AD24" s="2"/>
      <c r="AE24" s="2"/>
      <c r="AF24" s="2"/>
      <c r="AG24" s="2">
        <v>1</v>
      </c>
      <c r="AH24" s="2"/>
      <c r="AI24" s="2"/>
      <c r="AJ24" s="2"/>
      <c r="AK24" s="2"/>
      <c r="AL24" s="2"/>
      <c r="AM24" s="2"/>
      <c r="AN24" s="2"/>
      <c r="AO24" s="2"/>
      <c r="AP24" s="2"/>
      <c r="AQ24" s="2">
        <v>1</v>
      </c>
      <c r="AR24" s="2"/>
      <c r="AS24" s="2"/>
      <c r="AT24" s="2"/>
      <c r="AU24" s="2"/>
      <c r="AV24" s="2"/>
      <c r="AW24" s="2"/>
      <c r="AX24" s="1"/>
    </row>
    <row r="25" spans="1:50" x14ac:dyDescent="0.4">
      <c r="A25" s="1" t="str">
        <f t="shared" si="0"/>
        <v>山鹿</v>
      </c>
      <c r="B25" s="1" t="str">
        <f>"中川医院"</f>
        <v>中川医院</v>
      </c>
      <c r="C25" s="1" t="str">
        <f>"861-0304"</f>
        <v>861-0304</v>
      </c>
      <c r="D25" s="1" t="s">
        <v>140</v>
      </c>
      <c r="E25" s="1" t="str">
        <f>"0968463106    "</f>
        <v xml:space="preserve">0968463106    </v>
      </c>
      <c r="F25" s="1" t="str">
        <f>"医療法人社団清松会"</f>
        <v>医療法人社団清松会</v>
      </c>
      <c r="G25" s="1" t="str">
        <f>"H11.06.01"</f>
        <v>H11.06.01</v>
      </c>
      <c r="H25" s="1" t="str">
        <f t="shared" si="1"/>
        <v>開設中</v>
      </c>
      <c r="I25" s="1">
        <v>0</v>
      </c>
      <c r="J25" s="1">
        <v>0</v>
      </c>
      <c r="K25" s="1">
        <v>0</v>
      </c>
      <c r="L25" s="2">
        <v>1</v>
      </c>
      <c r="M25" s="2"/>
      <c r="N25" s="2"/>
      <c r="O25" s="2"/>
      <c r="P25" s="2"/>
      <c r="Q25" s="2"/>
      <c r="R25" s="2">
        <v>1</v>
      </c>
      <c r="S25" s="2"/>
      <c r="T25" s="2"/>
      <c r="U25" s="2"/>
      <c r="V25" s="2"/>
      <c r="W25" s="2">
        <v>1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1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1"/>
    </row>
    <row r="26" spans="1:50" x14ac:dyDescent="0.4">
      <c r="A26" s="1" t="str">
        <f t="shared" si="0"/>
        <v>山鹿</v>
      </c>
      <c r="B26" s="1" t="str">
        <f>"はとの眼科クリニック"</f>
        <v>はとの眼科クリニック</v>
      </c>
      <c r="C26" s="1" t="str">
        <f>"861-0304"</f>
        <v>861-0304</v>
      </c>
      <c r="D26" s="1" t="s">
        <v>141</v>
      </c>
      <c r="E26" s="1" t="str">
        <f>"0968461700    "</f>
        <v xml:space="preserve">0968461700    </v>
      </c>
      <c r="F26" s="1" t="str">
        <f>"医療法人敬明会"</f>
        <v>医療法人敬明会</v>
      </c>
      <c r="G26" s="1" t="str">
        <f>"H12.09.01"</f>
        <v>H12.09.01</v>
      </c>
      <c r="H26" s="1" t="str">
        <f t="shared" si="1"/>
        <v>開設中</v>
      </c>
      <c r="I26" s="1">
        <v>0</v>
      </c>
      <c r="J26" s="1">
        <v>0</v>
      </c>
      <c r="K26" s="1"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>
        <v>1</v>
      </c>
      <c r="AO26" s="2"/>
      <c r="AP26" s="2"/>
      <c r="AQ26" s="2"/>
      <c r="AR26" s="2"/>
      <c r="AS26" s="2"/>
      <c r="AT26" s="2"/>
      <c r="AU26" s="2"/>
      <c r="AV26" s="2"/>
      <c r="AW26" s="2"/>
      <c r="AX26" s="1"/>
    </row>
    <row r="27" spans="1:50" x14ac:dyDescent="0.4">
      <c r="A27" s="1" t="str">
        <f t="shared" si="0"/>
        <v>山鹿</v>
      </c>
      <c r="B27" s="1" t="str">
        <f>"平井・藤岡医院"</f>
        <v>平井・藤岡医院</v>
      </c>
      <c r="C27" s="1" t="str">
        <f>"861-0331"</f>
        <v>861-0331</v>
      </c>
      <c r="D27" s="1" t="s">
        <v>142</v>
      </c>
      <c r="E27" s="1" t="str">
        <f>"0968462146    "</f>
        <v xml:space="preserve">0968462146    </v>
      </c>
      <c r="F27" s="1" t="str">
        <f>"医療法人慈愛会"</f>
        <v>医療法人慈愛会</v>
      </c>
      <c r="G27" s="1" t="str">
        <f>"H02.03.01"</f>
        <v>H02.03.01</v>
      </c>
      <c r="H27" s="1" t="str">
        <f t="shared" si="1"/>
        <v>開設中</v>
      </c>
      <c r="I27" s="1">
        <v>0</v>
      </c>
      <c r="J27" s="1">
        <v>0</v>
      </c>
      <c r="K27" s="1">
        <v>0</v>
      </c>
      <c r="L27" s="2">
        <v>1</v>
      </c>
      <c r="M27" s="2"/>
      <c r="N27" s="2"/>
      <c r="O27" s="2"/>
      <c r="P27" s="2"/>
      <c r="Q27" s="2">
        <v>1</v>
      </c>
      <c r="R27" s="2"/>
      <c r="S27" s="2"/>
      <c r="T27" s="2">
        <v>1</v>
      </c>
      <c r="U27" s="2"/>
      <c r="V27" s="2"/>
      <c r="W27" s="2">
        <v>1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1"/>
    </row>
    <row r="28" spans="1:50" x14ac:dyDescent="0.4">
      <c r="A28" s="1" t="str">
        <f t="shared" si="0"/>
        <v>山鹿</v>
      </c>
      <c r="B28" s="1" t="str">
        <f>"特別養護老人ホームあいさと"</f>
        <v>特別養護老人ホームあいさと</v>
      </c>
      <c r="C28" s="1" t="str">
        <f>"861-0565"</f>
        <v>861-0565</v>
      </c>
      <c r="D28" s="1" t="s">
        <v>143</v>
      </c>
      <c r="E28" s="1" t="str">
        <f>"0968362333    "</f>
        <v xml:space="preserve">0968362333    </v>
      </c>
      <c r="F28" s="1" t="str">
        <f>"社会福祉法人慶承会"</f>
        <v>社会福祉法人慶承会</v>
      </c>
      <c r="G28" s="1" t="str">
        <f>"H13.06.01"</f>
        <v>H13.06.01</v>
      </c>
      <c r="H28" s="1" t="str">
        <f t="shared" si="1"/>
        <v>開設中</v>
      </c>
      <c r="I28" s="1">
        <v>0</v>
      </c>
      <c r="J28" s="1">
        <v>0</v>
      </c>
      <c r="K28" s="1">
        <v>0</v>
      </c>
      <c r="L28" s="2">
        <v>1</v>
      </c>
      <c r="M28" s="2"/>
      <c r="N28" s="2"/>
      <c r="O28" s="2"/>
      <c r="P28" s="2"/>
      <c r="Q28" s="2">
        <v>1</v>
      </c>
      <c r="R28" s="2"/>
      <c r="S28" s="2">
        <v>1</v>
      </c>
      <c r="T28" s="2">
        <v>1</v>
      </c>
      <c r="U28" s="2"/>
      <c r="V28" s="2"/>
      <c r="W28" s="2">
        <v>1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1</v>
      </c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1"/>
    </row>
    <row r="29" spans="1:50" x14ac:dyDescent="0.4">
      <c r="A29" s="1" t="str">
        <f t="shared" si="0"/>
        <v>山鹿</v>
      </c>
      <c r="B29" s="1" t="str">
        <f>"幸村医院"</f>
        <v>幸村医院</v>
      </c>
      <c r="C29" s="1" t="str">
        <f>"861-0565"</f>
        <v>861-0565</v>
      </c>
      <c r="D29" s="1" t="s">
        <v>144</v>
      </c>
      <c r="E29" s="1" t="str">
        <f>"0968362000    "</f>
        <v xml:space="preserve">0968362000    </v>
      </c>
      <c r="F29" s="1" t="str">
        <f>"医療法人社団幸村医院"</f>
        <v>医療法人社団幸村医院</v>
      </c>
      <c r="G29" s="1" t="str">
        <f>"H04.05.01"</f>
        <v>H04.05.01</v>
      </c>
      <c r="H29" s="1" t="str">
        <f t="shared" ref="H29:H92" si="2">"開設中"</f>
        <v>開設中</v>
      </c>
      <c r="I29" s="1">
        <v>0</v>
      </c>
      <c r="J29" s="1">
        <v>0</v>
      </c>
      <c r="K29" s="1">
        <v>0</v>
      </c>
      <c r="L29" s="2">
        <v>1</v>
      </c>
      <c r="M29" s="2"/>
      <c r="N29" s="2"/>
      <c r="O29" s="2"/>
      <c r="P29" s="2"/>
      <c r="Q29" s="2"/>
      <c r="R29" s="2"/>
      <c r="S29" s="2">
        <v>1</v>
      </c>
      <c r="T29" s="2"/>
      <c r="U29" s="2"/>
      <c r="V29" s="2"/>
      <c r="W29" s="2">
        <v>1</v>
      </c>
      <c r="X29" s="2">
        <v>1</v>
      </c>
      <c r="Y29" s="2"/>
      <c r="Z29" s="2"/>
      <c r="AA29" s="2"/>
      <c r="AB29" s="2"/>
      <c r="AC29" s="2"/>
      <c r="AD29" s="2"/>
      <c r="AE29" s="2"/>
      <c r="AF29" s="2"/>
      <c r="AG29" s="2">
        <v>1</v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1"/>
    </row>
    <row r="30" spans="1:50" x14ac:dyDescent="0.4">
      <c r="A30" s="1" t="str">
        <f t="shared" si="0"/>
        <v>山鹿</v>
      </c>
      <c r="B30" s="1" t="str">
        <f>"東内科小児科医院"</f>
        <v>東内科小児科医院</v>
      </c>
      <c r="C30" s="1" t="str">
        <f>"861-0382"</f>
        <v>861-0382</v>
      </c>
      <c r="D30" s="1" t="s">
        <v>145</v>
      </c>
      <c r="E30" s="1" t="str">
        <f>"0968443444    "</f>
        <v xml:space="preserve">0968443444    </v>
      </c>
      <c r="F30" s="1" t="str">
        <f>"医療法人社団東昭会"</f>
        <v>医療法人社団東昭会</v>
      </c>
      <c r="G30" s="1" t="str">
        <f>"H18.11.01"</f>
        <v>H18.11.01</v>
      </c>
      <c r="H30" s="1" t="str">
        <f t="shared" si="2"/>
        <v>開設中</v>
      </c>
      <c r="I30" s="1">
        <v>0</v>
      </c>
      <c r="J30" s="1">
        <v>0</v>
      </c>
      <c r="K30" s="1">
        <v>0</v>
      </c>
      <c r="L30" s="2">
        <v>1</v>
      </c>
      <c r="M30" s="2"/>
      <c r="N30" s="2"/>
      <c r="O30" s="2"/>
      <c r="P30" s="2"/>
      <c r="Q30" s="2"/>
      <c r="R30" s="2"/>
      <c r="S30" s="2">
        <v>1</v>
      </c>
      <c r="T30" s="2"/>
      <c r="U30" s="2"/>
      <c r="V30" s="2"/>
      <c r="W30" s="2">
        <v>1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v>1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1"/>
    </row>
    <row r="31" spans="1:50" x14ac:dyDescent="0.4">
      <c r="A31" s="1" t="str">
        <f t="shared" si="0"/>
        <v>山鹿</v>
      </c>
      <c r="B31" s="1" t="str">
        <f>"まえはら泌尿器科クリニック"</f>
        <v>まえはら泌尿器科クリニック</v>
      </c>
      <c r="C31" s="1" t="str">
        <f>"861-0531"</f>
        <v>861-0531</v>
      </c>
      <c r="D31" s="1" t="s">
        <v>146</v>
      </c>
      <c r="E31" s="1" t="str">
        <f>"0968438888    "</f>
        <v xml:space="preserve">0968438888    </v>
      </c>
      <c r="F31" s="1" t="str">
        <f>"医療法人　昭陽会"</f>
        <v>医療法人　昭陽会</v>
      </c>
      <c r="G31" s="1" t="str">
        <f>"H19.04.01"</f>
        <v>H19.04.01</v>
      </c>
      <c r="H31" s="1" t="str">
        <f t="shared" si="2"/>
        <v>開設中</v>
      </c>
      <c r="I31" s="1">
        <v>12</v>
      </c>
      <c r="J31" s="1">
        <v>12</v>
      </c>
      <c r="K31" s="1"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>
        <v>1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1"/>
    </row>
    <row r="32" spans="1:50" x14ac:dyDescent="0.4">
      <c r="A32" s="1" t="str">
        <f t="shared" si="0"/>
        <v>山鹿</v>
      </c>
      <c r="B32" s="1" t="str">
        <f>"大橋通クリニック"</f>
        <v>大橋通クリニック</v>
      </c>
      <c r="C32" s="1" t="str">
        <f>"861-0517"</f>
        <v>861-0517</v>
      </c>
      <c r="D32" s="1" t="s">
        <v>147</v>
      </c>
      <c r="E32" s="1" t="str">
        <f>"0968445161    "</f>
        <v xml:space="preserve">0968445161    </v>
      </c>
      <c r="F32" s="1" t="str">
        <f>"医療法人　菅村会"</f>
        <v>医療法人　菅村会</v>
      </c>
      <c r="G32" s="1" t="str">
        <f>"H19.05.01"</f>
        <v>H19.05.01</v>
      </c>
      <c r="H32" s="1" t="str">
        <f t="shared" si="2"/>
        <v>開設中</v>
      </c>
      <c r="I32" s="1">
        <v>19</v>
      </c>
      <c r="J32" s="1">
        <v>19</v>
      </c>
      <c r="K32" s="1">
        <v>0</v>
      </c>
      <c r="L32" s="2">
        <v>1</v>
      </c>
      <c r="M32" s="2"/>
      <c r="N32" s="2"/>
      <c r="O32" s="2"/>
      <c r="P32" s="2"/>
      <c r="Q32" s="2"/>
      <c r="R32" s="2"/>
      <c r="S32" s="2">
        <v>1</v>
      </c>
      <c r="T32" s="2"/>
      <c r="U32" s="2"/>
      <c r="V32" s="2"/>
      <c r="W32" s="2"/>
      <c r="X32" s="2">
        <v>1</v>
      </c>
      <c r="Y32" s="2">
        <v>1</v>
      </c>
      <c r="Z32" s="2"/>
      <c r="AA32" s="2"/>
      <c r="AB32" s="2"/>
      <c r="AC32" s="2"/>
      <c r="AD32" s="2"/>
      <c r="AE32" s="2"/>
      <c r="AF32" s="2"/>
      <c r="AG32" s="2">
        <v>1</v>
      </c>
      <c r="AH32" s="2"/>
      <c r="AI32" s="2"/>
      <c r="AJ32" s="2"/>
      <c r="AK32" s="2"/>
      <c r="AL32" s="2"/>
      <c r="AM32" s="2"/>
      <c r="AN32" s="2"/>
      <c r="AO32" s="2"/>
      <c r="AP32" s="2"/>
      <c r="AQ32" s="2">
        <v>1</v>
      </c>
      <c r="AR32" s="2"/>
      <c r="AS32" s="2"/>
      <c r="AT32" s="2"/>
      <c r="AU32" s="2"/>
      <c r="AV32" s="2"/>
      <c r="AW32" s="2"/>
      <c r="AX32" s="1"/>
    </row>
    <row r="33" spans="1:50" x14ac:dyDescent="0.4">
      <c r="A33" s="1" t="str">
        <f t="shared" si="0"/>
        <v>山鹿</v>
      </c>
      <c r="B33" s="1" t="str">
        <f>"藤原クリニック"</f>
        <v>藤原クリニック</v>
      </c>
      <c r="C33" s="1" t="str">
        <f>"861-0535"</f>
        <v>861-0535</v>
      </c>
      <c r="D33" s="1" t="s">
        <v>148</v>
      </c>
      <c r="E33" s="1" t="str">
        <f>"0968428887    "</f>
        <v xml:space="preserve">0968428887    </v>
      </c>
      <c r="F33" s="1" t="str">
        <f>"藤原一徳"</f>
        <v>藤原一徳</v>
      </c>
      <c r="G33" s="1" t="str">
        <f>"H20.04.07"</f>
        <v>H20.04.07</v>
      </c>
      <c r="H33" s="1" t="str">
        <f t="shared" si="2"/>
        <v>開設中</v>
      </c>
      <c r="I33" s="1">
        <v>0</v>
      </c>
      <c r="J33" s="1">
        <v>0</v>
      </c>
      <c r="K33" s="1">
        <v>0</v>
      </c>
      <c r="L33" s="2">
        <v>1</v>
      </c>
      <c r="M33" s="2"/>
      <c r="N33" s="2"/>
      <c r="O33" s="2"/>
      <c r="P33" s="2"/>
      <c r="Q33" s="2"/>
      <c r="R33" s="2"/>
      <c r="S33" s="2"/>
      <c r="T33" s="2"/>
      <c r="U33" s="2"/>
      <c r="V33" s="2">
        <v>1</v>
      </c>
      <c r="W33" s="2"/>
      <c r="X33" s="2"/>
      <c r="Y33" s="2">
        <v>1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>
        <v>1</v>
      </c>
      <c r="AR33" s="2"/>
      <c r="AS33" s="2"/>
      <c r="AT33" s="2"/>
      <c r="AU33" s="2"/>
      <c r="AV33" s="2"/>
      <c r="AW33" s="2"/>
      <c r="AX33" s="1"/>
    </row>
    <row r="34" spans="1:50" x14ac:dyDescent="0.4">
      <c r="A34" s="1" t="str">
        <f t="shared" si="0"/>
        <v>山鹿</v>
      </c>
      <c r="B34" s="1" t="str">
        <f>"養護老人ホ－ム寿楽荘"</f>
        <v>養護老人ホ－ム寿楽荘</v>
      </c>
      <c r="C34" s="1" t="str">
        <f>"861-0331"</f>
        <v>861-0331</v>
      </c>
      <c r="D34" s="1" t="s">
        <v>149</v>
      </c>
      <c r="E34" s="1" t="str">
        <f>"0968462046    "</f>
        <v xml:space="preserve">0968462046    </v>
      </c>
      <c r="F34" s="1" t="str">
        <f>"社会福祉法人山鹿むつみ福祉会"</f>
        <v>社会福祉法人山鹿むつみ福祉会</v>
      </c>
      <c r="G34" s="1" t="str">
        <f>"H21.04.01"</f>
        <v>H21.04.01</v>
      </c>
      <c r="H34" s="1" t="str">
        <f t="shared" si="2"/>
        <v>開設中</v>
      </c>
      <c r="I34" s="1">
        <v>0</v>
      </c>
      <c r="J34" s="1">
        <v>0</v>
      </c>
      <c r="K34" s="1">
        <v>0</v>
      </c>
      <c r="L34" s="2">
        <v>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1"/>
    </row>
    <row r="35" spans="1:50" x14ac:dyDescent="0.4">
      <c r="A35" s="1" t="str">
        <f t="shared" si="0"/>
        <v>山鹿</v>
      </c>
      <c r="B35" s="1" t="str">
        <f>"養護老人ホーム清楽園"</f>
        <v>養護老人ホーム清楽園</v>
      </c>
      <c r="C35" s="1" t="str">
        <f>"861-0424"</f>
        <v>861-0424</v>
      </c>
      <c r="D35" s="1" t="s">
        <v>150</v>
      </c>
      <c r="E35" s="1" t="str">
        <f>"0968482124    "</f>
        <v xml:space="preserve">0968482124    </v>
      </c>
      <c r="F35" s="1" t="str">
        <f>"社会福祉法人山鹿むつみ福祉会"</f>
        <v>社会福祉法人山鹿むつみ福祉会</v>
      </c>
      <c r="G35" s="1" t="str">
        <f>"H21.04.01"</f>
        <v>H21.04.01</v>
      </c>
      <c r="H35" s="1" t="str">
        <f t="shared" si="2"/>
        <v>開設中</v>
      </c>
      <c r="I35" s="1">
        <v>0</v>
      </c>
      <c r="J35" s="1">
        <v>0</v>
      </c>
      <c r="K35" s="1">
        <v>0</v>
      </c>
      <c r="L35" s="2">
        <v>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1"/>
    </row>
    <row r="36" spans="1:50" x14ac:dyDescent="0.4">
      <c r="A36" s="1" t="str">
        <f t="shared" si="0"/>
        <v>山鹿</v>
      </c>
      <c r="B36" s="1" t="str">
        <f>"坂本医院"</f>
        <v>坂本医院</v>
      </c>
      <c r="C36" s="1" t="str">
        <f>"861-0556"</f>
        <v>861-0556</v>
      </c>
      <c r="D36" s="1" t="s">
        <v>151</v>
      </c>
      <c r="E36" s="1" t="str">
        <f>"0968442763    "</f>
        <v xml:space="preserve">0968442763    </v>
      </c>
      <c r="F36" s="1" t="str">
        <f>"医療法人社団　坂本会"</f>
        <v>医療法人社団　坂本会</v>
      </c>
      <c r="G36" s="1" t="str">
        <f>"H24.08.13"</f>
        <v>H24.08.13</v>
      </c>
      <c r="H36" s="1" t="str">
        <f t="shared" si="2"/>
        <v>開設中</v>
      </c>
      <c r="I36" s="1">
        <v>0</v>
      </c>
      <c r="J36" s="1">
        <v>0</v>
      </c>
      <c r="K36" s="1">
        <v>0</v>
      </c>
      <c r="L36" s="2">
        <v>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>
        <v>1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1"/>
    </row>
    <row r="37" spans="1:50" x14ac:dyDescent="0.4">
      <c r="A37" s="1" t="str">
        <f t="shared" si="0"/>
        <v>山鹿</v>
      </c>
      <c r="B37" s="1" t="str">
        <f>"やまがクリニック"</f>
        <v>やまがクリニック</v>
      </c>
      <c r="C37" s="1" t="str">
        <f>"861-0382"</f>
        <v>861-0382</v>
      </c>
      <c r="D37" s="1" t="s">
        <v>152</v>
      </c>
      <c r="E37" s="1" t="str">
        <f>"0968415433    "</f>
        <v xml:space="preserve">0968415433    </v>
      </c>
      <c r="F37" s="1" t="str">
        <f>"医療法人　太一会"</f>
        <v>医療法人　太一会</v>
      </c>
      <c r="G37" s="1" t="str">
        <f>"H26.01.01"</f>
        <v>H26.01.01</v>
      </c>
      <c r="H37" s="1" t="str">
        <f t="shared" si="2"/>
        <v>開設中</v>
      </c>
      <c r="I37" s="1">
        <v>0</v>
      </c>
      <c r="J37" s="1">
        <v>0</v>
      </c>
      <c r="K37" s="1">
        <v>0</v>
      </c>
      <c r="L37" s="2"/>
      <c r="M37" s="2"/>
      <c r="N37" s="2"/>
      <c r="O37" s="2"/>
      <c r="P37" s="2"/>
      <c r="Q37" s="2"/>
      <c r="R37" s="2"/>
      <c r="S37" s="2"/>
      <c r="T37" s="2"/>
      <c r="U37" s="2">
        <v>1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>
        <v>1</v>
      </c>
      <c r="AP37" s="2"/>
      <c r="AQ37" s="2"/>
      <c r="AR37" s="2"/>
      <c r="AS37" s="2"/>
      <c r="AT37" s="2"/>
      <c r="AU37" s="2"/>
      <c r="AV37" s="2"/>
      <c r="AW37" s="2"/>
      <c r="AX37" s="1"/>
    </row>
    <row r="38" spans="1:50" x14ac:dyDescent="0.4">
      <c r="A38" s="1" t="str">
        <f t="shared" si="0"/>
        <v>山鹿</v>
      </c>
      <c r="B38" s="1" t="str">
        <f>"佐藤泌尿器科クリニック"</f>
        <v>佐藤泌尿器科クリニック</v>
      </c>
      <c r="C38" s="1" t="str">
        <f>"861-0514"</f>
        <v>861-0514</v>
      </c>
      <c r="D38" s="1" t="s">
        <v>153</v>
      </c>
      <c r="E38" s="1" t="str">
        <f>"0968415357    "</f>
        <v xml:space="preserve">0968415357    </v>
      </c>
      <c r="F38" s="1" t="str">
        <f>"佐藤　誠"</f>
        <v>佐藤　誠</v>
      </c>
      <c r="G38" s="1" t="str">
        <f>"H30.04.19"</f>
        <v>H30.04.19</v>
      </c>
      <c r="H38" s="1" t="str">
        <f t="shared" si="2"/>
        <v>開設中</v>
      </c>
      <c r="I38" s="1">
        <v>0</v>
      </c>
      <c r="J38" s="1">
        <v>0</v>
      </c>
      <c r="K38" s="1">
        <v>0</v>
      </c>
      <c r="L38" s="2">
        <v>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>
        <v>1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1"/>
    </row>
    <row r="39" spans="1:50" x14ac:dyDescent="0.4">
      <c r="A39" s="1" t="str">
        <f t="shared" si="0"/>
        <v>山鹿</v>
      </c>
      <c r="B39" s="1" t="str">
        <f>"井上産婦人科医院"</f>
        <v>井上産婦人科医院</v>
      </c>
      <c r="C39" s="1" t="str">
        <f>"861-0517"</f>
        <v>861-0517</v>
      </c>
      <c r="D39" s="1" t="s">
        <v>154</v>
      </c>
      <c r="E39" s="1" t="str">
        <f>"0968446615    "</f>
        <v xml:space="preserve">0968446615    </v>
      </c>
      <c r="F39" s="1" t="str">
        <f>"井上　弘一"</f>
        <v>井上　弘一</v>
      </c>
      <c r="G39" s="1" t="str">
        <f>"R02.05.19"</f>
        <v>R02.05.19</v>
      </c>
      <c r="H39" s="1" t="str">
        <f t="shared" si="2"/>
        <v>開設中</v>
      </c>
      <c r="I39" s="1">
        <v>6</v>
      </c>
      <c r="J39" s="1">
        <v>6</v>
      </c>
      <c r="K39" s="1"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>
        <v>1</v>
      </c>
      <c r="AM39" s="2">
        <v>1</v>
      </c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1"/>
    </row>
    <row r="40" spans="1:50" x14ac:dyDescent="0.4">
      <c r="A40" s="1" t="str">
        <f t="shared" si="0"/>
        <v>山鹿</v>
      </c>
      <c r="B40" s="1" t="str">
        <f>"熊本県山鹿保健所"</f>
        <v>熊本県山鹿保健所</v>
      </c>
      <c r="C40" s="1" t="str">
        <f>"861-0501"</f>
        <v>861-0501</v>
      </c>
      <c r="D40" s="1" t="s">
        <v>155</v>
      </c>
      <c r="E40" s="1" t="str">
        <f>"0968444121    "</f>
        <v xml:space="preserve">0968444121    </v>
      </c>
      <c r="F40" s="1" t="str">
        <f>"熊本県"</f>
        <v>熊本県</v>
      </c>
      <c r="G40" s="1" t="str">
        <f>"R03.05.31"</f>
        <v>R03.05.31</v>
      </c>
      <c r="H40" s="1" t="str">
        <f t="shared" si="2"/>
        <v>開設中</v>
      </c>
      <c r="I40" s="1">
        <v>0</v>
      </c>
      <c r="J40" s="1">
        <v>0</v>
      </c>
      <c r="K40" s="1">
        <v>0</v>
      </c>
      <c r="L40" s="2">
        <v>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1"/>
    </row>
    <row r="41" spans="1:50" x14ac:dyDescent="0.4">
      <c r="A41" s="1" t="str">
        <f t="shared" si="0"/>
        <v>山鹿</v>
      </c>
      <c r="B41" s="1" t="str">
        <f>"中村眼科"</f>
        <v>中村眼科</v>
      </c>
      <c r="C41" s="1" t="str">
        <f>"861-0501"</f>
        <v>861-0501</v>
      </c>
      <c r="D41" s="1" t="s">
        <v>156</v>
      </c>
      <c r="E41" s="1" t="str">
        <f>"0968433415    "</f>
        <v xml:space="preserve">0968433415    </v>
      </c>
      <c r="F41" s="1" t="str">
        <f>"中村　健一"</f>
        <v>中村　健一</v>
      </c>
      <c r="G41" s="1" t="str">
        <f>"R06.04.01"</f>
        <v>R06.04.01</v>
      </c>
      <c r="H41" s="1" t="str">
        <f t="shared" si="2"/>
        <v>開設中</v>
      </c>
      <c r="I41" s="1">
        <v>0</v>
      </c>
      <c r="J41" s="1">
        <v>0</v>
      </c>
      <c r="K41" s="1"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>
        <v>1</v>
      </c>
      <c r="AO41" s="2"/>
      <c r="AP41" s="2"/>
      <c r="AQ41" s="2"/>
      <c r="AR41" s="2"/>
      <c r="AS41" s="2"/>
      <c r="AT41" s="2"/>
      <c r="AU41" s="2"/>
      <c r="AV41" s="2"/>
      <c r="AW41" s="2"/>
      <c r="AX41" s="1"/>
    </row>
    <row r="42" spans="1:50" x14ac:dyDescent="0.4">
      <c r="A42" s="1" t="str">
        <f t="shared" si="0"/>
        <v>山鹿</v>
      </c>
      <c r="B42" s="1" t="str">
        <f>"吉里医院"</f>
        <v>吉里医院</v>
      </c>
      <c r="C42" s="1" t="str">
        <f>"861-0533"</f>
        <v>861-0533</v>
      </c>
      <c r="D42" s="1" t="s">
        <v>157</v>
      </c>
      <c r="E42" s="1" t="str">
        <f>"0968432188    "</f>
        <v xml:space="preserve">0968432188    </v>
      </c>
      <c r="F42" s="1" t="str">
        <f>"医療法人　尚徳会"</f>
        <v>医療法人　尚徳会</v>
      </c>
      <c r="G42" s="1" t="str">
        <f>"H27.07.21"</f>
        <v>H27.07.21</v>
      </c>
      <c r="H42" s="1" t="str">
        <f t="shared" si="2"/>
        <v>開設中</v>
      </c>
      <c r="I42" s="1">
        <v>0</v>
      </c>
      <c r="J42" s="1">
        <v>0</v>
      </c>
      <c r="K42" s="1">
        <v>0</v>
      </c>
      <c r="L42" s="2">
        <v>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1"/>
    </row>
    <row r="43" spans="1:50" x14ac:dyDescent="0.4">
      <c r="A43" s="1" t="str">
        <f t="shared" ref="A43:A74" si="3">"菊池"</f>
        <v>菊池</v>
      </c>
      <c r="B43" s="1" t="str">
        <f>"岩根クリニック"</f>
        <v>岩根クリニック</v>
      </c>
      <c r="C43" s="1" t="str">
        <f>"861-1331"</f>
        <v>861-1331</v>
      </c>
      <c r="D43" s="1" t="s">
        <v>158</v>
      </c>
      <c r="E43" s="1" t="str">
        <f>"0968254230    "</f>
        <v xml:space="preserve">0968254230    </v>
      </c>
      <c r="F43" s="1" t="str">
        <f>"岩根英治"</f>
        <v>岩根英治</v>
      </c>
      <c r="G43" s="1" t="str">
        <f>"H13.05.01"</f>
        <v>H13.05.01</v>
      </c>
      <c r="H43" s="1" t="str">
        <f t="shared" si="2"/>
        <v>開設中</v>
      </c>
      <c r="I43" s="1">
        <v>0</v>
      </c>
      <c r="J43" s="1">
        <v>0</v>
      </c>
      <c r="K43" s="1">
        <v>0</v>
      </c>
      <c r="L43" s="2"/>
      <c r="M43" s="2"/>
      <c r="N43" s="2"/>
      <c r="O43" s="2"/>
      <c r="P43" s="2"/>
      <c r="Q43" s="2"/>
      <c r="R43" s="2">
        <v>1</v>
      </c>
      <c r="S43" s="2">
        <v>1</v>
      </c>
      <c r="T43" s="2"/>
      <c r="U43" s="2"/>
      <c r="V43" s="2"/>
      <c r="W43" s="2"/>
      <c r="X43" s="2">
        <v>1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1"/>
    </row>
    <row r="44" spans="1:50" x14ac:dyDescent="0.4">
      <c r="A44" s="1" t="str">
        <f t="shared" si="3"/>
        <v>菊池</v>
      </c>
      <c r="B44" s="1" t="str">
        <f>"河野整形外科医院"</f>
        <v>河野整形外科医院</v>
      </c>
      <c r="C44" s="1" t="str">
        <f>"861-1305"</f>
        <v>861-1305</v>
      </c>
      <c r="D44" s="1" t="s">
        <v>159</v>
      </c>
      <c r="E44" s="1" t="str">
        <f>"0968245000    "</f>
        <v xml:space="preserve">0968245000    </v>
      </c>
      <c r="F44" s="1" t="str">
        <f>"河野邦治"</f>
        <v>河野邦治</v>
      </c>
      <c r="G44" s="1" t="str">
        <f>"H08.01.08"</f>
        <v>H08.01.08</v>
      </c>
      <c r="H44" s="1" t="str">
        <f t="shared" si="2"/>
        <v>開設中</v>
      </c>
      <c r="I44" s="1">
        <v>0</v>
      </c>
      <c r="J44" s="1">
        <v>0</v>
      </c>
      <c r="K44" s="1"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>
        <v>1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1"/>
    </row>
    <row r="45" spans="1:50" x14ac:dyDescent="0.4">
      <c r="A45" s="1" t="str">
        <f t="shared" si="3"/>
        <v>菊池</v>
      </c>
      <c r="B45" s="1" t="str">
        <f>"牧診療所"</f>
        <v>牧診療所</v>
      </c>
      <c r="C45" s="1" t="str">
        <f>"861-1304"</f>
        <v>861-1304</v>
      </c>
      <c r="D45" s="1" t="s">
        <v>160</v>
      </c>
      <c r="E45" s="1" t="str">
        <f>"0968252317    "</f>
        <v xml:space="preserve">0968252317    </v>
      </c>
      <c r="F45" s="1" t="str">
        <f>"医療法人　牧念人会"</f>
        <v>医療法人　牧念人会</v>
      </c>
      <c r="G45" s="1" t="str">
        <f>"H01.03.23"</f>
        <v>H01.03.23</v>
      </c>
      <c r="H45" s="1" t="str">
        <f t="shared" si="2"/>
        <v>開設中</v>
      </c>
      <c r="I45" s="1">
        <v>0</v>
      </c>
      <c r="J45" s="1">
        <v>0</v>
      </c>
      <c r="K45" s="1">
        <v>0</v>
      </c>
      <c r="L45" s="2">
        <v>1</v>
      </c>
      <c r="M45" s="2"/>
      <c r="N45" s="2">
        <v>1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1" t="s">
        <v>46</v>
      </c>
    </row>
    <row r="46" spans="1:50" x14ac:dyDescent="0.4">
      <c r="A46" s="1" t="str">
        <f t="shared" si="3"/>
        <v>菊池</v>
      </c>
      <c r="B46" s="1" t="str">
        <f>"菊池眼科"</f>
        <v>菊池眼科</v>
      </c>
      <c r="C46" s="1" t="str">
        <f>"861-1307"</f>
        <v>861-1307</v>
      </c>
      <c r="D46" s="1" t="s">
        <v>161</v>
      </c>
      <c r="E46" s="1" t="str">
        <f>"0968255678    "</f>
        <v xml:space="preserve">0968255678    </v>
      </c>
      <c r="F46" s="1" t="str">
        <f>"医療法人　菊池眼科"</f>
        <v>医療法人　菊池眼科</v>
      </c>
      <c r="G46" s="1" t="str">
        <f>"H08.11.01"</f>
        <v>H08.11.01</v>
      </c>
      <c r="H46" s="1" t="str">
        <f t="shared" si="2"/>
        <v>開設中</v>
      </c>
      <c r="I46" s="1">
        <v>0</v>
      </c>
      <c r="J46" s="1">
        <v>0</v>
      </c>
      <c r="K46" s="1">
        <v>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>
        <v>1</v>
      </c>
      <c r="AO46" s="2"/>
      <c r="AP46" s="2"/>
      <c r="AQ46" s="2"/>
      <c r="AR46" s="2"/>
      <c r="AS46" s="2"/>
      <c r="AT46" s="2"/>
      <c r="AU46" s="2"/>
      <c r="AV46" s="2"/>
      <c r="AW46" s="2"/>
      <c r="AX46" s="1"/>
    </row>
    <row r="47" spans="1:50" x14ac:dyDescent="0.4">
      <c r="A47" s="1" t="str">
        <f t="shared" si="3"/>
        <v>菊池</v>
      </c>
      <c r="B47" s="1" t="str">
        <f>"菊池こどもクリニック"</f>
        <v>菊池こどもクリニック</v>
      </c>
      <c r="C47" s="1" t="str">
        <f>"861-1306"</f>
        <v>861-1306</v>
      </c>
      <c r="D47" s="1" t="s">
        <v>162</v>
      </c>
      <c r="E47" s="1" t="str">
        <f>"0968251164    "</f>
        <v xml:space="preserve">0968251164    </v>
      </c>
      <c r="F47" s="1" t="str">
        <f>"医療法人　菊池こどもクリニック"</f>
        <v>医療法人　菊池こどもクリニック</v>
      </c>
      <c r="G47" s="1" t="str">
        <f>"H08.09.01"</f>
        <v>H08.09.01</v>
      </c>
      <c r="H47" s="1" t="str">
        <f t="shared" si="2"/>
        <v>開設中</v>
      </c>
      <c r="I47" s="1">
        <v>0</v>
      </c>
      <c r="J47" s="1">
        <v>0</v>
      </c>
      <c r="K47" s="1">
        <v>0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v>1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1"/>
    </row>
    <row r="48" spans="1:50" x14ac:dyDescent="0.4">
      <c r="A48" s="1" t="str">
        <f t="shared" si="3"/>
        <v>菊池</v>
      </c>
      <c r="B48" s="1" t="str">
        <f>"熊本県菊池保健所"</f>
        <v>熊本県菊池保健所</v>
      </c>
      <c r="C48" s="1" t="str">
        <f>"861-1331"</f>
        <v>861-1331</v>
      </c>
      <c r="D48" s="1" t="s">
        <v>163</v>
      </c>
      <c r="E48" s="1" t="str">
        <f>"0968254155    "</f>
        <v xml:space="preserve">0968254155    </v>
      </c>
      <c r="F48" s="1" t="str">
        <f>"熊本県"</f>
        <v>熊本県</v>
      </c>
      <c r="G48" s="1" t="str">
        <f>"S44.03.25"</f>
        <v>S44.03.25</v>
      </c>
      <c r="H48" s="1" t="str">
        <f t="shared" si="2"/>
        <v>開設中</v>
      </c>
      <c r="I48" s="1">
        <v>0</v>
      </c>
      <c r="J48" s="1">
        <v>0</v>
      </c>
      <c r="K48" s="1">
        <v>0</v>
      </c>
      <c r="L48" s="2">
        <v>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1"/>
    </row>
    <row r="49" spans="1:50" x14ac:dyDescent="0.4">
      <c r="A49" s="1" t="str">
        <f t="shared" si="3"/>
        <v>菊池</v>
      </c>
      <c r="B49" s="1" t="str">
        <f>"斎藤産婦人科医院"</f>
        <v>斎藤産婦人科医院</v>
      </c>
      <c r="C49" s="1" t="str">
        <f>"861-1307"</f>
        <v>861-1307</v>
      </c>
      <c r="D49" s="1" t="s">
        <v>164</v>
      </c>
      <c r="E49" s="1" t="str">
        <f>"0968241177    "</f>
        <v xml:space="preserve">0968241177    </v>
      </c>
      <c r="F49" s="1" t="str">
        <f>"斎藤厚生"</f>
        <v>斎藤厚生</v>
      </c>
      <c r="G49" s="1" t="str">
        <f>"S57.03.31"</f>
        <v>S57.03.31</v>
      </c>
      <c r="H49" s="1" t="str">
        <f t="shared" si="2"/>
        <v>開設中</v>
      </c>
      <c r="I49" s="1">
        <v>14</v>
      </c>
      <c r="J49" s="1">
        <v>14</v>
      </c>
      <c r="K49" s="1">
        <v>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>
        <v>1</v>
      </c>
      <c r="AM49" s="2">
        <v>1</v>
      </c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1"/>
    </row>
    <row r="50" spans="1:50" x14ac:dyDescent="0.4">
      <c r="A50" s="1" t="str">
        <f t="shared" si="3"/>
        <v>菊池</v>
      </c>
      <c r="B50" s="1" t="str">
        <f>"城間クリニック"</f>
        <v>城間クリニック</v>
      </c>
      <c r="C50" s="1" t="str">
        <f>"861-1331"</f>
        <v>861-1331</v>
      </c>
      <c r="D50" s="1" t="s">
        <v>165</v>
      </c>
      <c r="E50" s="1" t="str">
        <f>"0968252506    "</f>
        <v xml:space="preserve">0968252506    </v>
      </c>
      <c r="F50" s="1" t="str">
        <f>"医療法人　盛啓会"</f>
        <v>医療法人　盛啓会</v>
      </c>
      <c r="G50" s="1" t="str">
        <f>"H13.04.01"</f>
        <v>H13.04.01</v>
      </c>
      <c r="H50" s="1" t="str">
        <f t="shared" si="2"/>
        <v>開設中</v>
      </c>
      <c r="I50" s="1">
        <v>0</v>
      </c>
      <c r="J50" s="1">
        <v>0</v>
      </c>
      <c r="K50" s="1">
        <v>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>
        <v>1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>
        <v>1</v>
      </c>
      <c r="AR50" s="2"/>
      <c r="AS50" s="2"/>
      <c r="AT50" s="2"/>
      <c r="AU50" s="2"/>
      <c r="AV50" s="2"/>
      <c r="AW50" s="2"/>
      <c r="AX50" s="1"/>
    </row>
    <row r="51" spans="1:50" x14ac:dyDescent="0.4">
      <c r="A51" s="1" t="str">
        <f t="shared" si="3"/>
        <v>菊池</v>
      </c>
      <c r="B51" s="1" t="str">
        <f>"中野クリニック"</f>
        <v>中野クリニック</v>
      </c>
      <c r="C51" s="1" t="str">
        <f>"861-1306"</f>
        <v>861-1306</v>
      </c>
      <c r="D51" s="1" t="s">
        <v>166</v>
      </c>
      <c r="E51" s="1" t="str">
        <f>"0968255861    "</f>
        <v xml:space="preserve">0968255861    </v>
      </c>
      <c r="F51" s="1" t="str">
        <f>"医療法人　社団　健誠会"</f>
        <v>医療法人　社団　健誠会</v>
      </c>
      <c r="G51" s="1" t="str">
        <f>"H14.01.01"</f>
        <v>H14.01.01</v>
      </c>
      <c r="H51" s="1" t="str">
        <f t="shared" si="2"/>
        <v>開設中</v>
      </c>
      <c r="I51" s="1">
        <v>19</v>
      </c>
      <c r="J51" s="1">
        <v>19</v>
      </c>
      <c r="K51" s="1">
        <v>0</v>
      </c>
      <c r="L51" s="2">
        <v>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>
        <v>1</v>
      </c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1" t="s">
        <v>47</v>
      </c>
    </row>
    <row r="52" spans="1:50" x14ac:dyDescent="0.4">
      <c r="A52" s="1" t="str">
        <f t="shared" si="3"/>
        <v>菊池</v>
      </c>
      <c r="B52" s="1" t="str">
        <f>"米田産婦人科医院"</f>
        <v>米田産婦人科医院</v>
      </c>
      <c r="C52" s="1" t="str">
        <f>"861-1331"</f>
        <v>861-1331</v>
      </c>
      <c r="D52" s="1" t="s">
        <v>167</v>
      </c>
      <c r="E52" s="1" t="str">
        <f>"0968252589    "</f>
        <v xml:space="preserve">0968252589    </v>
      </c>
      <c r="F52" s="1" t="str">
        <f>"米田　義典"</f>
        <v>米田　義典</v>
      </c>
      <c r="G52" s="1" t="str">
        <f>"H04.12.08"</f>
        <v>H04.12.08</v>
      </c>
      <c r="H52" s="1" t="str">
        <f t="shared" si="2"/>
        <v>開設中</v>
      </c>
      <c r="I52" s="1">
        <v>13</v>
      </c>
      <c r="J52" s="1">
        <v>13</v>
      </c>
      <c r="K52" s="1">
        <v>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>
        <v>1</v>
      </c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>
        <v>1</v>
      </c>
      <c r="AX52" s="1"/>
    </row>
    <row r="53" spans="1:50" x14ac:dyDescent="0.4">
      <c r="A53" s="1" t="str">
        <f t="shared" si="3"/>
        <v>菊池</v>
      </c>
      <c r="B53" s="1" t="str">
        <f>"特別養護老人ホーム　清泉"</f>
        <v>特別養護老人ホーム　清泉</v>
      </c>
      <c r="C53" s="1" t="str">
        <f>"861-1342"</f>
        <v>861-1342</v>
      </c>
      <c r="D53" s="1" t="s">
        <v>168</v>
      </c>
      <c r="E53" s="1" t="str">
        <f>"0968264811    "</f>
        <v xml:space="preserve">0968264811    </v>
      </c>
      <c r="F53" s="1" t="str">
        <f>"社会福祉法人　愛敬会"</f>
        <v>社会福祉法人　愛敬会</v>
      </c>
      <c r="G53" s="1" t="str">
        <f>"H09.04.01"</f>
        <v>H09.04.01</v>
      </c>
      <c r="H53" s="1" t="str">
        <f t="shared" si="2"/>
        <v>開設中</v>
      </c>
      <c r="I53" s="1">
        <v>0</v>
      </c>
      <c r="J53" s="1">
        <v>0</v>
      </c>
      <c r="K53" s="1">
        <v>0</v>
      </c>
      <c r="L53" s="2">
        <v>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1"/>
    </row>
    <row r="54" spans="1:50" x14ac:dyDescent="0.4">
      <c r="A54" s="1" t="str">
        <f t="shared" si="3"/>
        <v>菊池</v>
      </c>
      <c r="B54" s="1" t="str">
        <f>"古田医院"</f>
        <v>古田医院</v>
      </c>
      <c r="C54" s="1" t="str">
        <f>"861-1353"</f>
        <v>861-1353</v>
      </c>
      <c r="D54" s="1" t="s">
        <v>169</v>
      </c>
      <c r="E54" s="1" t="str">
        <f>"0968252280    "</f>
        <v xml:space="preserve">0968252280    </v>
      </c>
      <c r="F54" s="1" t="str">
        <f>"医療法人　社団　喜生会"</f>
        <v>医療法人　社団　喜生会</v>
      </c>
      <c r="G54" s="1" t="str">
        <f>"H03.09.01"</f>
        <v>H03.09.01</v>
      </c>
      <c r="H54" s="1" t="str">
        <f t="shared" si="2"/>
        <v>開設中</v>
      </c>
      <c r="I54" s="1">
        <v>0</v>
      </c>
      <c r="J54" s="1">
        <v>0</v>
      </c>
      <c r="K54" s="1">
        <v>0</v>
      </c>
      <c r="L54" s="2">
        <v>1</v>
      </c>
      <c r="M54" s="2"/>
      <c r="N54" s="2"/>
      <c r="O54" s="2"/>
      <c r="P54" s="2"/>
      <c r="Q54" s="2"/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1"/>
    </row>
    <row r="55" spans="1:50" x14ac:dyDescent="0.4">
      <c r="A55" s="1" t="str">
        <f t="shared" si="3"/>
        <v>菊池</v>
      </c>
      <c r="B55" s="1" t="str">
        <f>"旭志石田医院"</f>
        <v>旭志石田医院</v>
      </c>
      <c r="C55" s="1" t="str">
        <f>"869-1201"</f>
        <v>869-1201</v>
      </c>
      <c r="D55" s="1" t="s">
        <v>170</v>
      </c>
      <c r="E55" s="1" t="str">
        <f>"0968372037    "</f>
        <v xml:space="preserve">0968372037    </v>
      </c>
      <c r="F55" s="1" t="str">
        <f>"石田文章"</f>
        <v>石田文章</v>
      </c>
      <c r="G55" s="1" t="str">
        <f>"H01.09.01"</f>
        <v>H01.09.01</v>
      </c>
      <c r="H55" s="1" t="str">
        <f t="shared" si="2"/>
        <v>開設中</v>
      </c>
      <c r="I55" s="1">
        <v>0</v>
      </c>
      <c r="J55" s="1">
        <v>0</v>
      </c>
      <c r="K55" s="1">
        <v>0</v>
      </c>
      <c r="L55" s="2">
        <v>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1" t="s">
        <v>48</v>
      </c>
    </row>
    <row r="56" spans="1:50" x14ac:dyDescent="0.4">
      <c r="A56" s="1" t="str">
        <f t="shared" si="3"/>
        <v>菊池</v>
      </c>
      <c r="B56" s="1" t="str">
        <f>"特別養護老人ホーム　あさひが丘荘内診療所"</f>
        <v>特別養護老人ホーム　あさひが丘荘内診療所</v>
      </c>
      <c r="C56" s="1" t="str">
        <f>"869-1206"</f>
        <v>869-1206</v>
      </c>
      <c r="D56" s="1" t="s">
        <v>171</v>
      </c>
      <c r="E56" s="1" t="str">
        <f>"0968373636    "</f>
        <v xml:space="preserve">0968373636    </v>
      </c>
      <c r="F56" s="1" t="str">
        <f>"社会福祉法人　広友会"</f>
        <v>社会福祉法人　広友会</v>
      </c>
      <c r="G56" s="1" t="str">
        <f>"H08.04.01"</f>
        <v>H08.04.01</v>
      </c>
      <c r="H56" s="1" t="str">
        <f t="shared" si="2"/>
        <v>開設中</v>
      </c>
      <c r="I56" s="1">
        <v>0</v>
      </c>
      <c r="J56" s="1">
        <v>0</v>
      </c>
      <c r="K56" s="1">
        <v>0</v>
      </c>
      <c r="L56" s="2">
        <v>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1"/>
    </row>
    <row r="57" spans="1:50" x14ac:dyDescent="0.4">
      <c r="A57" s="1" t="str">
        <f t="shared" si="3"/>
        <v>菊池</v>
      </c>
      <c r="B57" s="1" t="str">
        <f>"いしはら皮ふ科クリニック"</f>
        <v>いしはら皮ふ科クリニック</v>
      </c>
      <c r="C57" s="1" t="str">
        <f>"869-1235"</f>
        <v>869-1235</v>
      </c>
      <c r="D57" s="1" t="s">
        <v>172</v>
      </c>
      <c r="E57" s="1" t="str">
        <f>"0962933003    "</f>
        <v xml:space="preserve">0962933003    </v>
      </c>
      <c r="F57" s="1" t="str">
        <f>"石原秀治"</f>
        <v>石原秀治</v>
      </c>
      <c r="G57" s="1" t="str">
        <f>"H16.04.19"</f>
        <v>H16.04.19</v>
      </c>
      <c r="H57" s="1" t="str">
        <f t="shared" si="2"/>
        <v>開設中</v>
      </c>
      <c r="I57" s="1">
        <v>0</v>
      </c>
      <c r="J57" s="1">
        <v>0</v>
      </c>
      <c r="K57" s="1">
        <v>0</v>
      </c>
      <c r="L57" s="2"/>
      <c r="M57" s="2"/>
      <c r="N57" s="2"/>
      <c r="O57" s="2"/>
      <c r="P57" s="2"/>
      <c r="Q57" s="2"/>
      <c r="R57" s="2"/>
      <c r="S57" s="2"/>
      <c r="T57" s="2"/>
      <c r="U57" s="2">
        <v>1</v>
      </c>
      <c r="V57" s="2"/>
      <c r="W57" s="2"/>
      <c r="X57" s="2"/>
      <c r="Y57" s="2"/>
      <c r="Z57" s="2">
        <v>1</v>
      </c>
      <c r="AA57" s="2"/>
      <c r="AB57" s="2"/>
      <c r="AC57" s="2"/>
      <c r="AD57" s="2"/>
      <c r="AE57" s="2"/>
      <c r="AF57" s="2"/>
      <c r="AG57" s="2"/>
      <c r="AH57" s="2"/>
      <c r="AI57" s="2">
        <v>1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1"/>
    </row>
    <row r="58" spans="1:50" x14ac:dyDescent="0.4">
      <c r="A58" s="1" t="str">
        <f t="shared" si="3"/>
        <v>菊池</v>
      </c>
      <c r="B58" s="1" t="str">
        <f>"竹田津医院"</f>
        <v>竹田津医院</v>
      </c>
      <c r="C58" s="1" t="str">
        <f>"869-1235"</f>
        <v>869-1235</v>
      </c>
      <c r="D58" s="1" t="s">
        <v>173</v>
      </c>
      <c r="E58" s="1" t="str">
        <f>"0962932521    "</f>
        <v xml:space="preserve">0962932521    </v>
      </c>
      <c r="F58" s="1" t="str">
        <f>"医療法人　社団　樹"</f>
        <v>医療法人　社団　樹</v>
      </c>
      <c r="G58" s="1" t="str">
        <f>"H09.03.01"</f>
        <v>H09.03.01</v>
      </c>
      <c r="H58" s="1" t="str">
        <f t="shared" si="2"/>
        <v>開設中</v>
      </c>
      <c r="I58" s="1">
        <v>0</v>
      </c>
      <c r="J58" s="1">
        <v>0</v>
      </c>
      <c r="K58" s="1">
        <v>0</v>
      </c>
      <c r="L58" s="2">
        <v>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>
        <v>1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1"/>
    </row>
    <row r="59" spans="1:50" x14ac:dyDescent="0.4">
      <c r="A59" s="1" t="str">
        <f t="shared" si="3"/>
        <v>菊池</v>
      </c>
      <c r="B59" s="1" t="str">
        <f>"たしろクリニック"</f>
        <v>たしろクリニック</v>
      </c>
      <c r="C59" s="1" t="str">
        <f>"869-1233"</f>
        <v>869-1233</v>
      </c>
      <c r="D59" s="1" t="s">
        <v>174</v>
      </c>
      <c r="E59" s="1" t="str">
        <f>"0963403220    "</f>
        <v xml:space="preserve">0963403220    </v>
      </c>
      <c r="F59" s="1" t="str">
        <f>"田代和弘"</f>
        <v>田代和弘</v>
      </c>
      <c r="G59" s="1" t="str">
        <f>"H15.05.15"</f>
        <v>H15.05.15</v>
      </c>
      <c r="H59" s="1" t="str">
        <f t="shared" si="2"/>
        <v>開設中</v>
      </c>
      <c r="I59" s="1">
        <v>0</v>
      </c>
      <c r="J59" s="1">
        <v>0</v>
      </c>
      <c r="K59" s="1">
        <v>0</v>
      </c>
      <c r="L59" s="2">
        <v>1</v>
      </c>
      <c r="M59" s="2"/>
      <c r="N59" s="2"/>
      <c r="O59" s="2"/>
      <c r="P59" s="2"/>
      <c r="Q59" s="2"/>
      <c r="R59" s="2">
        <v>1</v>
      </c>
      <c r="S59" s="2">
        <v>1</v>
      </c>
      <c r="T59" s="2"/>
      <c r="U59" s="2">
        <v>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1</v>
      </c>
      <c r="AH59" s="2"/>
      <c r="AI59" s="2"/>
      <c r="AJ59" s="2"/>
      <c r="AK59" s="2"/>
      <c r="AL59" s="2"/>
      <c r="AM59" s="2"/>
      <c r="AN59" s="2"/>
      <c r="AO59" s="2"/>
      <c r="AP59" s="2"/>
      <c r="AQ59" s="2">
        <v>1</v>
      </c>
      <c r="AR59" s="2"/>
      <c r="AS59" s="2"/>
      <c r="AT59" s="2"/>
      <c r="AU59" s="2"/>
      <c r="AV59" s="2"/>
      <c r="AW59" s="2"/>
      <c r="AX59" s="1"/>
    </row>
    <row r="60" spans="1:50" x14ac:dyDescent="0.4">
      <c r="A60" s="1" t="str">
        <f t="shared" si="3"/>
        <v>菊池</v>
      </c>
      <c r="B60" s="1" t="str">
        <f>"樽美外科整形外科医院"</f>
        <v>樽美外科整形外科医院</v>
      </c>
      <c r="C60" s="1" t="str">
        <f>"869-1233"</f>
        <v>869-1233</v>
      </c>
      <c r="D60" s="1" t="s">
        <v>175</v>
      </c>
      <c r="E60" s="1" t="str">
        <f>"0962932100    "</f>
        <v xml:space="preserve">0962932100    </v>
      </c>
      <c r="F60" s="1" t="str">
        <f>"樽美光一"</f>
        <v>樽美光一</v>
      </c>
      <c r="G60" s="1" t="str">
        <f>"H03.09.01"</f>
        <v>H03.09.01</v>
      </c>
      <c r="H60" s="1" t="str">
        <f t="shared" si="2"/>
        <v>開設中</v>
      </c>
      <c r="I60" s="1">
        <v>17</v>
      </c>
      <c r="J60" s="1">
        <v>17</v>
      </c>
      <c r="K60" s="1">
        <v>0</v>
      </c>
      <c r="L60" s="2"/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>
        <v>1</v>
      </c>
      <c r="Y60" s="2">
        <v>1</v>
      </c>
      <c r="Z60" s="2"/>
      <c r="AA60" s="2"/>
      <c r="AB60" s="2"/>
      <c r="AC60" s="2"/>
      <c r="AD60" s="2"/>
      <c r="AE60" s="2"/>
      <c r="AF60" s="2"/>
      <c r="AG60" s="2"/>
      <c r="AH60" s="2"/>
      <c r="AI60" s="2">
        <v>1</v>
      </c>
      <c r="AJ60" s="2"/>
      <c r="AK60" s="2"/>
      <c r="AL60" s="2"/>
      <c r="AM60" s="2"/>
      <c r="AN60" s="2"/>
      <c r="AO60" s="2"/>
      <c r="AP60" s="2"/>
      <c r="AQ60" s="2">
        <v>1</v>
      </c>
      <c r="AR60" s="2"/>
      <c r="AS60" s="2"/>
      <c r="AT60" s="2"/>
      <c r="AU60" s="2"/>
      <c r="AV60" s="2"/>
      <c r="AW60" s="2"/>
      <c r="AX60" s="1"/>
    </row>
    <row r="61" spans="1:50" x14ac:dyDescent="0.4">
      <c r="A61" s="1" t="str">
        <f t="shared" si="3"/>
        <v>菊池</v>
      </c>
      <c r="B61" s="1" t="str">
        <f>"特別養護老人ホームつつじ山荘診療所"</f>
        <v>特別養護老人ホームつつじ山荘診療所</v>
      </c>
      <c r="C61" s="1" t="str">
        <f>"869-1233"</f>
        <v>869-1233</v>
      </c>
      <c r="D61" s="1" t="s">
        <v>176</v>
      </c>
      <c r="E61" s="1" t="str">
        <f>"0962934014    "</f>
        <v xml:space="preserve">0962934014    </v>
      </c>
      <c r="F61" s="1" t="str">
        <f>"社会福祉法人　双友会"</f>
        <v>社会福祉法人　双友会</v>
      </c>
      <c r="G61" s="1" t="str">
        <f>"S48.05.31"</f>
        <v>S48.05.31</v>
      </c>
      <c r="H61" s="1" t="str">
        <f t="shared" si="2"/>
        <v>開設中</v>
      </c>
      <c r="I61" s="1">
        <v>0</v>
      </c>
      <c r="J61" s="1">
        <v>0</v>
      </c>
      <c r="K61" s="1">
        <v>0</v>
      </c>
      <c r="L61" s="2">
        <v>1</v>
      </c>
      <c r="M61" s="2"/>
      <c r="N61" s="2"/>
      <c r="O61" s="2">
        <v>1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1"/>
    </row>
    <row r="62" spans="1:50" x14ac:dyDescent="0.4">
      <c r="A62" s="1" t="str">
        <f t="shared" si="3"/>
        <v>菊池</v>
      </c>
      <c r="B62" s="1" t="str">
        <f>"なみかわ小児科"</f>
        <v>なみかわ小児科</v>
      </c>
      <c r="C62" s="1" t="str">
        <f>"869-1235"</f>
        <v>869-1235</v>
      </c>
      <c r="D62" s="1" t="s">
        <v>177</v>
      </c>
      <c r="E62" s="1" t="str">
        <f>"0962931163    "</f>
        <v xml:space="preserve">0962931163    </v>
      </c>
      <c r="F62" s="1" t="str">
        <f>"医療法人　仁童会"</f>
        <v>医療法人　仁童会</v>
      </c>
      <c r="G62" s="1" t="str">
        <f>"H14.12.01"</f>
        <v>H14.12.01</v>
      </c>
      <c r="H62" s="1" t="str">
        <f t="shared" si="2"/>
        <v>開設中</v>
      </c>
      <c r="I62" s="1">
        <v>0</v>
      </c>
      <c r="J62" s="1">
        <v>0</v>
      </c>
      <c r="K62" s="1">
        <v>0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>
        <v>1</v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1"/>
    </row>
    <row r="63" spans="1:50" x14ac:dyDescent="0.4">
      <c r="A63" s="1" t="str">
        <f t="shared" si="3"/>
        <v>菊池</v>
      </c>
      <c r="B63" s="1" t="str">
        <f>"本田技研工業株式会社　熊本健康管理センター"</f>
        <v>本田技研工業株式会社　熊本健康管理センター</v>
      </c>
      <c r="C63" s="1" t="str">
        <f>"869-1231"</f>
        <v>869-1231</v>
      </c>
      <c r="D63" s="1" t="s">
        <v>178</v>
      </c>
      <c r="E63" s="1" t="str">
        <f>"0962931111    "</f>
        <v xml:space="preserve">0962931111    </v>
      </c>
      <c r="F63" s="1" t="str">
        <f>"本田技研工業（株）熊本製作所"</f>
        <v>本田技研工業（株）熊本製作所</v>
      </c>
      <c r="G63" s="1" t="str">
        <f>"S51.05.17"</f>
        <v>S51.05.17</v>
      </c>
      <c r="H63" s="1" t="str">
        <f t="shared" si="2"/>
        <v>開設中</v>
      </c>
      <c r="I63" s="1">
        <v>0</v>
      </c>
      <c r="J63" s="1">
        <v>0</v>
      </c>
      <c r="K63" s="1">
        <v>0</v>
      </c>
      <c r="L63" s="2">
        <v>1</v>
      </c>
      <c r="M63" s="2">
        <v>1</v>
      </c>
      <c r="N63" s="2"/>
      <c r="O63" s="2"/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1"/>
    </row>
    <row r="64" spans="1:50" x14ac:dyDescent="0.4">
      <c r="A64" s="1" t="str">
        <f t="shared" si="3"/>
        <v>菊池</v>
      </c>
      <c r="B64" s="1" t="str">
        <f>"宮本内科医院"</f>
        <v>宮本内科医院</v>
      </c>
      <c r="C64" s="1" t="str">
        <f>"869-1235"</f>
        <v>869-1235</v>
      </c>
      <c r="D64" s="1" t="s">
        <v>179</v>
      </c>
      <c r="E64" s="1" t="str">
        <f>"0962931700    "</f>
        <v xml:space="preserve">0962931700    </v>
      </c>
      <c r="F64" s="1" t="str">
        <f>"医療法人　社団　聖和会"</f>
        <v>医療法人　社団　聖和会</v>
      </c>
      <c r="G64" s="1" t="str">
        <f>"H08.03.01"</f>
        <v>H08.03.01</v>
      </c>
      <c r="H64" s="1" t="str">
        <f t="shared" si="2"/>
        <v>開設中</v>
      </c>
      <c r="I64" s="1">
        <v>19</v>
      </c>
      <c r="J64" s="1">
        <v>19</v>
      </c>
      <c r="K64" s="1">
        <v>0</v>
      </c>
      <c r="L64" s="2">
        <v>1</v>
      </c>
      <c r="M64" s="2"/>
      <c r="N64" s="2">
        <v>1</v>
      </c>
      <c r="O64" s="2"/>
      <c r="P64" s="2"/>
      <c r="Q64" s="2"/>
      <c r="R64" s="2"/>
      <c r="S64" s="2">
        <v>1</v>
      </c>
      <c r="T64" s="2">
        <v>1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>
        <v>1</v>
      </c>
      <c r="AS64" s="2"/>
      <c r="AT64" s="2"/>
      <c r="AU64" s="2"/>
      <c r="AV64" s="2"/>
      <c r="AW64" s="2"/>
      <c r="AX64" s="1" t="s">
        <v>49</v>
      </c>
    </row>
    <row r="65" spans="1:50" x14ac:dyDescent="0.4">
      <c r="A65" s="1" t="str">
        <f t="shared" si="3"/>
        <v>菊池</v>
      </c>
      <c r="B65" s="1" t="str">
        <f>"仁誠会クリニック大津"</f>
        <v>仁誠会クリニック大津</v>
      </c>
      <c r="C65" s="1" t="str">
        <f>"869-1102"</f>
        <v>869-1102</v>
      </c>
      <c r="D65" s="1" t="s">
        <v>180</v>
      </c>
      <c r="E65" s="1" t="str">
        <f>"0962329595    "</f>
        <v xml:space="preserve">0962329595    </v>
      </c>
      <c r="F65" s="1" t="str">
        <f>"医療法人　社団　仁誠会"</f>
        <v>医療法人　社団　仁誠会</v>
      </c>
      <c r="G65" s="1" t="str">
        <f>"H05.12.01"</f>
        <v>H05.12.01</v>
      </c>
      <c r="H65" s="1" t="str">
        <f t="shared" si="2"/>
        <v>開設中</v>
      </c>
      <c r="I65" s="1">
        <v>19</v>
      </c>
      <c r="J65" s="1">
        <v>19</v>
      </c>
      <c r="K65" s="1">
        <v>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1" t="s">
        <v>50</v>
      </c>
    </row>
    <row r="66" spans="1:50" x14ac:dyDescent="0.4">
      <c r="A66" s="1" t="str">
        <f t="shared" si="3"/>
        <v>菊池</v>
      </c>
      <c r="B66" s="1" t="str">
        <f>"河野内科クリニック"</f>
        <v>河野内科クリニック</v>
      </c>
      <c r="C66" s="1" t="str">
        <f>"869-1101"</f>
        <v>869-1101</v>
      </c>
      <c r="D66" s="1" t="s">
        <v>181</v>
      </c>
      <c r="E66" s="1" t="str">
        <f>"0962331717    "</f>
        <v xml:space="preserve">0962331717    </v>
      </c>
      <c r="F66" s="1" t="str">
        <f>"河野正一郎"</f>
        <v>河野正一郎</v>
      </c>
      <c r="G66" s="1" t="str">
        <f>"H15.06.09"</f>
        <v>H15.06.09</v>
      </c>
      <c r="H66" s="1" t="str">
        <f t="shared" si="2"/>
        <v>開設中</v>
      </c>
      <c r="I66" s="1">
        <v>0</v>
      </c>
      <c r="J66" s="1">
        <v>0</v>
      </c>
      <c r="K66" s="1">
        <v>0</v>
      </c>
      <c r="L66" s="2">
        <v>1</v>
      </c>
      <c r="M66" s="2"/>
      <c r="N66" s="2"/>
      <c r="O66" s="2"/>
      <c r="P66" s="2">
        <v>1</v>
      </c>
      <c r="Q66" s="2">
        <v>1</v>
      </c>
      <c r="R66" s="2">
        <v>1</v>
      </c>
      <c r="S66" s="2"/>
      <c r="T66" s="2">
        <v>1</v>
      </c>
      <c r="U66" s="2">
        <v>1</v>
      </c>
      <c r="V66" s="2"/>
      <c r="W66" s="2">
        <v>1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1"/>
    </row>
    <row r="67" spans="1:50" x14ac:dyDescent="0.4">
      <c r="A67" s="1" t="str">
        <f t="shared" si="3"/>
        <v>菊池</v>
      </c>
      <c r="B67" s="1" t="str">
        <f>"菊陽レディースクリニック"</f>
        <v>菊陽レディースクリニック</v>
      </c>
      <c r="C67" s="1" t="str">
        <f>"869-1109"</f>
        <v>869-1109</v>
      </c>
      <c r="D67" s="1" t="s">
        <v>182</v>
      </c>
      <c r="E67" s="1" t="str">
        <f>"0962135656    "</f>
        <v xml:space="preserve">0962135656    </v>
      </c>
      <c r="F67" s="1" t="str">
        <f>"社会医療法人　愛育会"</f>
        <v>社会医療法人　愛育会</v>
      </c>
      <c r="G67" s="1" t="str">
        <f>"H14.08.05"</f>
        <v>H14.08.05</v>
      </c>
      <c r="H67" s="1" t="str">
        <f t="shared" si="2"/>
        <v>開設中</v>
      </c>
      <c r="I67" s="1">
        <v>19</v>
      </c>
      <c r="J67" s="1">
        <v>19</v>
      </c>
      <c r="K67" s="1">
        <v>0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>
        <v>1</v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>
        <v>1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1"/>
    </row>
    <row r="68" spans="1:50" x14ac:dyDescent="0.4">
      <c r="A68" s="1" t="str">
        <f t="shared" si="3"/>
        <v>菊池</v>
      </c>
      <c r="B68" s="1" t="str">
        <f>"しもむら整形外科医院"</f>
        <v>しもむら整形外科医院</v>
      </c>
      <c r="C68" s="1" t="str">
        <f>"869-1101"</f>
        <v>869-1101</v>
      </c>
      <c r="D68" s="1" t="s">
        <v>183</v>
      </c>
      <c r="E68" s="1" t="str">
        <f>"0962325836    "</f>
        <v xml:space="preserve">0962325836    </v>
      </c>
      <c r="F68" s="1" t="str">
        <f>"下村　義文"</f>
        <v>下村　義文</v>
      </c>
      <c r="G68" s="1" t="str">
        <f>"H11.01.22"</f>
        <v>H11.01.22</v>
      </c>
      <c r="H68" s="1" t="str">
        <f t="shared" si="2"/>
        <v>開設中</v>
      </c>
      <c r="I68" s="1">
        <v>0</v>
      </c>
      <c r="J68" s="1">
        <v>0</v>
      </c>
      <c r="K68" s="1">
        <v>0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>
        <v>1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>
        <v>1</v>
      </c>
      <c r="AR68" s="2"/>
      <c r="AS68" s="2"/>
      <c r="AT68" s="2"/>
      <c r="AU68" s="2"/>
      <c r="AV68" s="2"/>
      <c r="AW68" s="2"/>
      <c r="AX68" s="1"/>
    </row>
    <row r="69" spans="1:50" x14ac:dyDescent="0.4">
      <c r="A69" s="1" t="str">
        <f t="shared" si="3"/>
        <v>菊池</v>
      </c>
      <c r="B69" s="1" t="str">
        <f>"竹長小児科内科医院"</f>
        <v>竹長小児科内科医院</v>
      </c>
      <c r="C69" s="1" t="str">
        <f>"869-1110"</f>
        <v>869-1110</v>
      </c>
      <c r="D69" s="1" t="s">
        <v>184</v>
      </c>
      <c r="E69" s="1" t="str">
        <f>"0962321110    "</f>
        <v xml:space="preserve">0962321110    </v>
      </c>
      <c r="F69" s="1" t="str">
        <f>"竹長幸男"</f>
        <v>竹長幸男</v>
      </c>
      <c r="G69" s="1" t="str">
        <f>"S58.05.09"</f>
        <v>S58.05.09</v>
      </c>
      <c r="H69" s="1" t="str">
        <f t="shared" si="2"/>
        <v>開設中</v>
      </c>
      <c r="I69" s="1">
        <v>0</v>
      </c>
      <c r="J69" s="1">
        <v>0</v>
      </c>
      <c r="K69" s="1">
        <v>0</v>
      </c>
      <c r="L69" s="2">
        <v>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>
        <v>1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1"/>
    </row>
    <row r="70" spans="1:50" x14ac:dyDescent="0.4">
      <c r="A70" s="1" t="str">
        <f t="shared" si="3"/>
        <v>菊池</v>
      </c>
      <c r="B70" s="1" t="str">
        <f>"ちが産婦人科医院"</f>
        <v>ちが産婦人科医院</v>
      </c>
      <c r="C70" s="1" t="str">
        <f>"869-1102"</f>
        <v>869-1102</v>
      </c>
      <c r="D70" s="1" t="s">
        <v>185</v>
      </c>
      <c r="E70" s="1" t="str">
        <f>"0962329131    "</f>
        <v xml:space="preserve">0962329131    </v>
      </c>
      <c r="F70" s="1" t="str">
        <f>"医療法人　社団　博慈会"</f>
        <v>医療法人　社団　博慈会</v>
      </c>
      <c r="G70" s="1" t="str">
        <f>"H02.09.21"</f>
        <v>H02.09.21</v>
      </c>
      <c r="H70" s="1" t="str">
        <f t="shared" si="2"/>
        <v>開設中</v>
      </c>
      <c r="I70" s="1">
        <v>16</v>
      </c>
      <c r="J70" s="1">
        <v>16</v>
      </c>
      <c r="K70" s="1">
        <v>0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>
        <v>1</v>
      </c>
      <c r="AM70" s="2">
        <v>1</v>
      </c>
      <c r="AN70" s="2"/>
      <c r="AO70" s="2"/>
      <c r="AP70" s="2"/>
      <c r="AQ70" s="2"/>
      <c r="AR70" s="2"/>
      <c r="AS70" s="2"/>
      <c r="AT70" s="2"/>
      <c r="AU70" s="2"/>
      <c r="AV70" s="2"/>
      <c r="AW70" s="2">
        <v>1</v>
      </c>
      <c r="AX70" s="1"/>
    </row>
    <row r="71" spans="1:50" x14ac:dyDescent="0.4">
      <c r="A71" s="1" t="str">
        <f t="shared" si="3"/>
        <v>菊池</v>
      </c>
      <c r="B71" s="1" t="str">
        <f>"特別養護老人ホームきほう苑"</f>
        <v>特別養護老人ホームきほう苑</v>
      </c>
      <c r="C71" s="1" t="str">
        <f>"869-1107"</f>
        <v>869-1107</v>
      </c>
      <c r="D71" s="1" t="s">
        <v>186</v>
      </c>
      <c r="E71" s="1" t="str">
        <f>"0962321188    "</f>
        <v xml:space="preserve">0962321188    </v>
      </c>
      <c r="F71" s="1" t="str">
        <f>"社会福祉法人　清陽会"</f>
        <v>社会福祉法人　清陽会</v>
      </c>
      <c r="G71" s="1" t="str">
        <f>"S61.04.01"</f>
        <v>S61.04.01</v>
      </c>
      <c r="H71" s="1" t="str">
        <f t="shared" si="2"/>
        <v>開設中</v>
      </c>
      <c r="I71" s="1">
        <v>0</v>
      </c>
      <c r="J71" s="1">
        <v>0</v>
      </c>
      <c r="K71" s="1">
        <v>0</v>
      </c>
      <c r="L71" s="2">
        <v>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1"/>
    </row>
    <row r="72" spans="1:50" x14ac:dyDescent="0.4">
      <c r="A72" s="1" t="str">
        <f t="shared" si="3"/>
        <v>菊池</v>
      </c>
      <c r="B72" s="1" t="str">
        <f>"菊陽中部クリニック"</f>
        <v>菊陽中部クリニック</v>
      </c>
      <c r="C72" s="1" t="str">
        <f>"869-1101"</f>
        <v>869-1101</v>
      </c>
      <c r="D72" s="1" t="s">
        <v>187</v>
      </c>
      <c r="E72" s="1" t="str">
        <f>"0962321566    "</f>
        <v xml:space="preserve">0962321566    </v>
      </c>
      <c r="F72" s="1" t="str">
        <f>"医療法人　星乃会"</f>
        <v>医療法人　星乃会</v>
      </c>
      <c r="G72" s="1" t="str">
        <f>"H07.03.01"</f>
        <v>H07.03.01</v>
      </c>
      <c r="H72" s="1" t="str">
        <f t="shared" si="2"/>
        <v>開設中</v>
      </c>
      <c r="I72" s="1">
        <v>0</v>
      </c>
      <c r="J72" s="1">
        <v>0</v>
      </c>
      <c r="K72" s="1">
        <v>0</v>
      </c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>
        <v>1</v>
      </c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1"/>
    </row>
    <row r="73" spans="1:50" x14ac:dyDescent="0.4">
      <c r="A73" s="1" t="str">
        <f t="shared" si="3"/>
        <v>菊池</v>
      </c>
      <c r="B73" s="1" t="str">
        <f>"松岡耳鼻咽喉科医院"</f>
        <v>松岡耳鼻咽喉科医院</v>
      </c>
      <c r="C73" s="1" t="str">
        <f>"869-1101"</f>
        <v>869-1101</v>
      </c>
      <c r="D73" s="1" t="s">
        <v>188</v>
      </c>
      <c r="E73" s="1" t="str">
        <f>"0962325011    "</f>
        <v xml:space="preserve">0962325011    </v>
      </c>
      <c r="F73" s="1" t="str">
        <f>"医療法人　社団　松陽会"</f>
        <v>医療法人　社団　松陽会</v>
      </c>
      <c r="G73" s="1" t="str">
        <f>"H12.04.01"</f>
        <v>H12.04.01</v>
      </c>
      <c r="H73" s="1" t="str">
        <f t="shared" si="2"/>
        <v>開設中</v>
      </c>
      <c r="I73" s="1">
        <v>0</v>
      </c>
      <c r="J73" s="1">
        <v>0</v>
      </c>
      <c r="K73" s="1">
        <v>0</v>
      </c>
      <c r="L73" s="2"/>
      <c r="M73" s="2"/>
      <c r="N73" s="2"/>
      <c r="O73" s="2"/>
      <c r="P73" s="2"/>
      <c r="Q73" s="2"/>
      <c r="R73" s="2"/>
      <c r="S73" s="2"/>
      <c r="T73" s="2"/>
      <c r="U73" s="2">
        <v>1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v>1</v>
      </c>
      <c r="AP73" s="2"/>
      <c r="AQ73" s="2"/>
      <c r="AR73" s="2"/>
      <c r="AS73" s="2"/>
      <c r="AT73" s="2"/>
      <c r="AU73" s="2"/>
      <c r="AV73" s="2"/>
      <c r="AW73" s="2"/>
      <c r="AX73" s="1"/>
    </row>
    <row r="74" spans="1:50" x14ac:dyDescent="0.4">
      <c r="A74" s="1" t="str">
        <f t="shared" si="3"/>
        <v>菊池</v>
      </c>
      <c r="B74" s="1" t="str">
        <f>"矢野医院"</f>
        <v>矢野医院</v>
      </c>
      <c r="C74" s="1" t="str">
        <f>"869-1102"</f>
        <v>869-1102</v>
      </c>
      <c r="D74" s="1" t="s">
        <v>189</v>
      </c>
      <c r="E74" s="1" t="str">
        <f>"0962325266    "</f>
        <v xml:space="preserve">0962325266    </v>
      </c>
      <c r="F74" s="1" t="str">
        <f>"矢野克比古"</f>
        <v>矢野克比古</v>
      </c>
      <c r="G74" s="1" t="str">
        <f>"H01.10.01"</f>
        <v>H01.10.01</v>
      </c>
      <c r="H74" s="1" t="str">
        <f t="shared" si="2"/>
        <v>開設中</v>
      </c>
      <c r="I74" s="1">
        <v>0</v>
      </c>
      <c r="J74" s="1">
        <v>0</v>
      </c>
      <c r="K74" s="1">
        <v>0</v>
      </c>
      <c r="L74" s="2">
        <v>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>
        <v>1</v>
      </c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1"/>
    </row>
    <row r="75" spans="1:50" x14ac:dyDescent="0.4">
      <c r="A75" s="1" t="str">
        <f t="shared" ref="A75:A106" si="4">"菊池"</f>
        <v>菊池</v>
      </c>
      <c r="B75" s="1" t="str">
        <f>"医療法人社団 博心会 菊陽あきたクリニック"</f>
        <v>医療法人社団 博心会 菊陽あきたクリニック</v>
      </c>
      <c r="C75" s="1" t="str">
        <f>"869-1102"</f>
        <v>869-1102</v>
      </c>
      <c r="D75" s="1" t="s">
        <v>190</v>
      </c>
      <c r="E75" s="1" t="str">
        <f>"0962328333    "</f>
        <v xml:space="preserve">0962328333    </v>
      </c>
      <c r="F75" s="1" t="str">
        <f>"医療法人　社団　博心会"</f>
        <v>医療法人　社団　博心会</v>
      </c>
      <c r="G75" s="1" t="str">
        <f>"H10.06.01"</f>
        <v>H10.06.01</v>
      </c>
      <c r="H75" s="1" t="str">
        <f t="shared" si="2"/>
        <v>開設中</v>
      </c>
      <c r="I75" s="1">
        <v>0</v>
      </c>
      <c r="J75" s="1">
        <v>0</v>
      </c>
      <c r="K75" s="1">
        <v>0</v>
      </c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1</v>
      </c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1" t="s">
        <v>51</v>
      </c>
    </row>
    <row r="76" spans="1:50" x14ac:dyDescent="0.4">
      <c r="A76" s="1" t="str">
        <f t="shared" si="4"/>
        <v>菊池</v>
      </c>
      <c r="B76" s="1" t="str">
        <f>"池田クリニック"</f>
        <v>池田クリニック</v>
      </c>
      <c r="C76" s="1" t="str">
        <f>"861-1112"</f>
        <v>861-1112</v>
      </c>
      <c r="D76" s="1" t="s">
        <v>191</v>
      </c>
      <c r="E76" s="1" t="str">
        <f>"0962488600    "</f>
        <v xml:space="preserve">0962488600    </v>
      </c>
      <c r="F76" s="1" t="str">
        <f>"医療法人　榮邦会"</f>
        <v>医療法人　榮邦会</v>
      </c>
      <c r="G76" s="1" t="str">
        <f>"H15.08.01"</f>
        <v>H15.08.01</v>
      </c>
      <c r="H76" s="1" t="str">
        <f t="shared" si="2"/>
        <v>開設中</v>
      </c>
      <c r="I76" s="1">
        <v>0</v>
      </c>
      <c r="J76" s="1">
        <v>0</v>
      </c>
      <c r="K76" s="1">
        <v>0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>
        <v>1</v>
      </c>
      <c r="AK76" s="2"/>
      <c r="AL76" s="2"/>
      <c r="AM76" s="2">
        <v>1</v>
      </c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1"/>
    </row>
    <row r="77" spans="1:50" x14ac:dyDescent="0.4">
      <c r="A77" s="1" t="str">
        <f t="shared" si="4"/>
        <v>菊池</v>
      </c>
      <c r="B77" s="1" t="str">
        <f>"大森医院"</f>
        <v>大森医院</v>
      </c>
      <c r="C77" s="1" t="str">
        <f>"861-1114"</f>
        <v>861-1114</v>
      </c>
      <c r="D77" s="1" t="s">
        <v>192</v>
      </c>
      <c r="E77" s="1" t="str">
        <f>"0962480003    "</f>
        <v xml:space="preserve">0962480003    </v>
      </c>
      <c r="F77" s="1" t="str">
        <f>"大森邦弘"</f>
        <v>大森邦弘</v>
      </c>
      <c r="G77" s="1" t="str">
        <f>"H01.10.02"</f>
        <v>H01.10.02</v>
      </c>
      <c r="H77" s="1" t="str">
        <f t="shared" si="2"/>
        <v>開設中</v>
      </c>
      <c r="I77" s="1">
        <v>0</v>
      </c>
      <c r="J77" s="1">
        <v>0</v>
      </c>
      <c r="K77" s="1">
        <v>0</v>
      </c>
      <c r="L77" s="2">
        <v>1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>
        <v>1</v>
      </c>
      <c r="AX77" s="1"/>
    </row>
    <row r="78" spans="1:50" x14ac:dyDescent="0.4">
      <c r="A78" s="1" t="str">
        <f t="shared" si="4"/>
        <v>菊池</v>
      </c>
      <c r="B78" s="1" t="str">
        <f>"緒方整形外科医院"</f>
        <v>緒方整形外科医院</v>
      </c>
      <c r="C78" s="1" t="str">
        <f>"861-1112"</f>
        <v>861-1112</v>
      </c>
      <c r="D78" s="1" t="s">
        <v>193</v>
      </c>
      <c r="E78" s="1" t="str">
        <f>"0962488181    "</f>
        <v xml:space="preserve">0962488181    </v>
      </c>
      <c r="F78" s="1" t="str">
        <f>"緒方正光"</f>
        <v>緒方正光</v>
      </c>
      <c r="G78" s="1" t="str">
        <f>"H07.07.17"</f>
        <v>H07.07.17</v>
      </c>
      <c r="H78" s="1" t="str">
        <f t="shared" si="2"/>
        <v>開設中</v>
      </c>
      <c r="I78" s="1">
        <v>19</v>
      </c>
      <c r="J78" s="1">
        <v>19</v>
      </c>
      <c r="K78" s="1">
        <v>0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>
        <v>1</v>
      </c>
      <c r="W78" s="2"/>
      <c r="X78" s="2"/>
      <c r="Y78" s="2">
        <v>1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>
        <v>1</v>
      </c>
      <c r="AR78" s="2"/>
      <c r="AS78" s="2"/>
      <c r="AT78" s="2"/>
      <c r="AU78" s="2"/>
      <c r="AV78" s="2"/>
      <c r="AW78" s="2"/>
      <c r="AX78" s="1"/>
    </row>
    <row r="79" spans="1:50" x14ac:dyDescent="0.4">
      <c r="A79" s="1" t="str">
        <f t="shared" si="4"/>
        <v>菊池</v>
      </c>
      <c r="B79" s="1" t="str">
        <f>"温耳鼻咽喉科医院"</f>
        <v>温耳鼻咽喉科医院</v>
      </c>
      <c r="C79" s="1" t="str">
        <f>"861-1112"</f>
        <v>861-1112</v>
      </c>
      <c r="D79" s="1" t="s">
        <v>194</v>
      </c>
      <c r="E79" s="1" t="str">
        <f>"0962486188    "</f>
        <v xml:space="preserve">0962486188    </v>
      </c>
      <c r="F79" s="1" t="str">
        <f>"医療法人　社団　開成会"</f>
        <v>医療法人　社団　開成会</v>
      </c>
      <c r="G79" s="1" t="str">
        <f>"H06.01.20"</f>
        <v>H06.01.20</v>
      </c>
      <c r="H79" s="1" t="str">
        <f t="shared" si="2"/>
        <v>開設中</v>
      </c>
      <c r="I79" s="1">
        <v>0</v>
      </c>
      <c r="J79" s="1">
        <v>0</v>
      </c>
      <c r="K79" s="1">
        <v>0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>
        <v>1</v>
      </c>
      <c r="AP79" s="2"/>
      <c r="AQ79" s="2"/>
      <c r="AR79" s="2"/>
      <c r="AS79" s="2"/>
      <c r="AT79" s="2"/>
      <c r="AU79" s="2"/>
      <c r="AV79" s="2"/>
      <c r="AW79" s="2"/>
      <c r="AX79" s="1"/>
    </row>
    <row r="80" spans="1:50" x14ac:dyDescent="0.4">
      <c r="A80" s="1" t="str">
        <f t="shared" si="4"/>
        <v>菊池</v>
      </c>
      <c r="B80" s="1" t="str">
        <f>"紀水ナーシングホーム内診療所"</f>
        <v>紀水ナーシングホーム内診療所</v>
      </c>
      <c r="C80" s="1" t="str">
        <f>"861-1114"</f>
        <v>861-1114</v>
      </c>
      <c r="D80" s="1" t="s">
        <v>195</v>
      </c>
      <c r="E80" s="1" t="str">
        <f>"0962487110    "</f>
        <v xml:space="preserve">0962487110    </v>
      </c>
      <c r="F80" s="1" t="str">
        <f>"社会福祉法人　学優会"</f>
        <v>社会福祉法人　学優会</v>
      </c>
      <c r="G80" s="1" t="str">
        <f>"H03.05.27"</f>
        <v>H03.05.27</v>
      </c>
      <c r="H80" s="1" t="str">
        <f t="shared" si="2"/>
        <v>開設中</v>
      </c>
      <c r="I80" s="1">
        <v>0</v>
      </c>
      <c r="J80" s="1">
        <v>0</v>
      </c>
      <c r="K80" s="1">
        <v>0</v>
      </c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v>1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1"/>
    </row>
    <row r="81" spans="1:50" x14ac:dyDescent="0.4">
      <c r="A81" s="1" t="str">
        <f t="shared" si="4"/>
        <v>菊池</v>
      </c>
      <c r="B81" s="1" t="str">
        <f>"友田皮ふ科医院"</f>
        <v>友田皮ふ科医院</v>
      </c>
      <c r="C81" s="1" t="str">
        <f t="shared" ref="C81:C87" si="5">"861-1112"</f>
        <v>861-1112</v>
      </c>
      <c r="D81" s="1" t="s">
        <v>196</v>
      </c>
      <c r="E81" s="1" t="str">
        <f>"0962486211    "</f>
        <v xml:space="preserve">0962486211    </v>
      </c>
      <c r="F81" s="1" t="str">
        <f>"医療法人　社団　ともだ会"</f>
        <v>医療法人　社団　ともだ会</v>
      </c>
      <c r="G81" s="1" t="str">
        <f>"H12.04.01"</f>
        <v>H12.04.01</v>
      </c>
      <c r="H81" s="1" t="str">
        <f t="shared" si="2"/>
        <v>開設中</v>
      </c>
      <c r="I81" s="1">
        <v>0</v>
      </c>
      <c r="J81" s="1">
        <v>0</v>
      </c>
      <c r="K81" s="1">
        <v>0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>
        <v>1</v>
      </c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1"/>
    </row>
    <row r="82" spans="1:50" x14ac:dyDescent="0.4">
      <c r="A82" s="1" t="str">
        <f t="shared" si="4"/>
        <v>菊池</v>
      </c>
      <c r="B82" s="1" t="str">
        <f>"播磨医院"</f>
        <v>播磨医院</v>
      </c>
      <c r="C82" s="1" t="str">
        <f t="shared" si="5"/>
        <v>861-1112</v>
      </c>
      <c r="D82" s="1" t="s">
        <v>197</v>
      </c>
      <c r="E82" s="1" t="str">
        <f>"0963483511    "</f>
        <v xml:space="preserve">0963483511    </v>
      </c>
      <c r="F82" s="1" t="str">
        <f>"医療法人　セイト会"</f>
        <v>医療法人　セイト会</v>
      </c>
      <c r="G82" s="1" t="str">
        <f>"H14.12.01"</f>
        <v>H14.12.01</v>
      </c>
      <c r="H82" s="1" t="str">
        <f t="shared" si="2"/>
        <v>開設中</v>
      </c>
      <c r="I82" s="1">
        <v>0</v>
      </c>
      <c r="J82" s="1">
        <v>0</v>
      </c>
      <c r="K82" s="1">
        <v>0</v>
      </c>
      <c r="L82" s="2">
        <v>1</v>
      </c>
      <c r="M82" s="2"/>
      <c r="N82" s="2"/>
      <c r="O82" s="2"/>
      <c r="P82" s="2"/>
      <c r="Q82" s="2">
        <v>1</v>
      </c>
      <c r="R82" s="2">
        <v>1</v>
      </c>
      <c r="S82" s="2"/>
      <c r="T82" s="2">
        <v>1</v>
      </c>
      <c r="U82" s="2"/>
      <c r="V82" s="2"/>
      <c r="W82" s="2"/>
      <c r="X82" s="2">
        <v>1</v>
      </c>
      <c r="Y82" s="2">
        <v>1</v>
      </c>
      <c r="Z82" s="2">
        <v>1</v>
      </c>
      <c r="AA82" s="2">
        <v>1</v>
      </c>
      <c r="AB82" s="2"/>
      <c r="AC82" s="2"/>
      <c r="AD82" s="2"/>
      <c r="AE82" s="2">
        <v>1</v>
      </c>
      <c r="AF82" s="2"/>
      <c r="AG82" s="2">
        <v>1</v>
      </c>
      <c r="AH82" s="2"/>
      <c r="AI82" s="2">
        <v>1</v>
      </c>
      <c r="AJ82" s="2"/>
      <c r="AK82" s="2"/>
      <c r="AL82" s="2"/>
      <c r="AM82" s="2"/>
      <c r="AN82" s="2">
        <v>1</v>
      </c>
      <c r="AO82" s="2"/>
      <c r="AP82" s="2"/>
      <c r="AQ82" s="2"/>
      <c r="AR82" s="2"/>
      <c r="AS82" s="2"/>
      <c r="AT82" s="2"/>
      <c r="AU82" s="2"/>
      <c r="AV82" s="2"/>
      <c r="AW82" s="2"/>
      <c r="AX82" s="1"/>
    </row>
    <row r="83" spans="1:50" x14ac:dyDescent="0.4">
      <c r="A83" s="1" t="str">
        <f t="shared" si="4"/>
        <v>菊池</v>
      </c>
      <c r="B83" s="1" t="str">
        <f>"ひかりヶ丘眼科・内科医院"</f>
        <v>ひかりヶ丘眼科・内科医院</v>
      </c>
      <c r="C83" s="1" t="str">
        <f t="shared" si="5"/>
        <v>861-1112</v>
      </c>
      <c r="D83" s="1" t="s">
        <v>198</v>
      </c>
      <c r="E83" s="1" t="str">
        <f>"0963486305    "</f>
        <v xml:space="preserve">0963486305    </v>
      </c>
      <c r="F83" s="1" t="str">
        <f>"医療法人　社団　栄康会"</f>
        <v>医療法人　社団　栄康会</v>
      </c>
      <c r="G83" s="1" t="str">
        <f>"H13.10.05"</f>
        <v>H13.10.05</v>
      </c>
      <c r="H83" s="1" t="str">
        <f t="shared" si="2"/>
        <v>開設中</v>
      </c>
      <c r="I83" s="1">
        <v>19</v>
      </c>
      <c r="J83" s="1">
        <v>19</v>
      </c>
      <c r="K83" s="1">
        <v>0</v>
      </c>
      <c r="L83" s="2">
        <v>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>
        <v>1</v>
      </c>
      <c r="AO83" s="2"/>
      <c r="AP83" s="2"/>
      <c r="AQ83" s="2"/>
      <c r="AR83" s="2"/>
      <c r="AS83" s="2"/>
      <c r="AT83" s="2"/>
      <c r="AU83" s="2"/>
      <c r="AV83" s="2"/>
      <c r="AW83" s="2"/>
      <c r="AX83" s="1"/>
    </row>
    <row r="84" spans="1:50" x14ac:dyDescent="0.4">
      <c r="A84" s="1" t="str">
        <f t="shared" si="4"/>
        <v>菊池</v>
      </c>
      <c r="B84" s="1" t="str">
        <f>"平瀬内科医院"</f>
        <v>平瀬内科医院</v>
      </c>
      <c r="C84" s="1" t="str">
        <f t="shared" si="5"/>
        <v>861-1112</v>
      </c>
      <c r="D84" s="1" t="s">
        <v>199</v>
      </c>
      <c r="E84" s="1" t="str">
        <f>"0962485227    "</f>
        <v xml:space="preserve">0962485227    </v>
      </c>
      <c r="F84" s="1" t="str">
        <f>"医療法人　平瀬会"</f>
        <v>医療法人　平瀬会</v>
      </c>
      <c r="G84" s="1" t="str">
        <f>"H07.06.01"</f>
        <v>H07.06.01</v>
      </c>
      <c r="H84" s="1" t="str">
        <f t="shared" si="2"/>
        <v>開設中</v>
      </c>
      <c r="I84" s="1">
        <v>8</v>
      </c>
      <c r="J84" s="1">
        <v>2</v>
      </c>
      <c r="K84" s="1">
        <v>6</v>
      </c>
      <c r="L84" s="2">
        <v>1</v>
      </c>
      <c r="M84" s="2"/>
      <c r="N84" s="2"/>
      <c r="O84" s="2"/>
      <c r="P84" s="2">
        <v>1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1" t="s">
        <v>52</v>
      </c>
    </row>
    <row r="85" spans="1:50" x14ac:dyDescent="0.4">
      <c r="A85" s="1" t="str">
        <f t="shared" si="4"/>
        <v>菊池</v>
      </c>
      <c r="B85" s="1" t="str">
        <f>"みやの小児科"</f>
        <v>みやの小児科</v>
      </c>
      <c r="C85" s="1" t="str">
        <f t="shared" si="5"/>
        <v>861-1112</v>
      </c>
      <c r="D85" s="1" t="s">
        <v>200</v>
      </c>
      <c r="E85" s="1" t="str">
        <f>"0962485800    "</f>
        <v xml:space="preserve">0962485800    </v>
      </c>
      <c r="F85" s="1" t="str">
        <f>"医療法人　社団　高島会"</f>
        <v>医療法人　社団　高島会</v>
      </c>
      <c r="G85" s="1" t="str">
        <f>"H02.08.18"</f>
        <v>H02.08.18</v>
      </c>
      <c r="H85" s="1" t="str">
        <f t="shared" si="2"/>
        <v>開設中</v>
      </c>
      <c r="I85" s="1">
        <v>0</v>
      </c>
      <c r="J85" s="1">
        <v>0</v>
      </c>
      <c r="K85" s="1">
        <v>0</v>
      </c>
      <c r="L85" s="2">
        <v>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>
        <v>1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1"/>
    </row>
    <row r="86" spans="1:50" x14ac:dyDescent="0.4">
      <c r="A86" s="1" t="str">
        <f t="shared" si="4"/>
        <v>菊池</v>
      </c>
      <c r="B86" s="1" t="str">
        <f>"むさし眼科クリニック"</f>
        <v>むさし眼科クリニック</v>
      </c>
      <c r="C86" s="1" t="str">
        <f t="shared" si="5"/>
        <v>861-1112</v>
      </c>
      <c r="D86" s="1" t="s">
        <v>201</v>
      </c>
      <c r="E86" s="1" t="str">
        <f>"0962486390    "</f>
        <v xml:space="preserve">0962486390    </v>
      </c>
      <c r="F86" s="1" t="str">
        <f>"医療法人　本田会"</f>
        <v>医療法人　本田会</v>
      </c>
      <c r="G86" s="1" t="str">
        <f>"H15.11.17"</f>
        <v>H15.11.17</v>
      </c>
      <c r="H86" s="1" t="str">
        <f t="shared" si="2"/>
        <v>開設中</v>
      </c>
      <c r="I86" s="1">
        <v>0</v>
      </c>
      <c r="J86" s="1">
        <v>0</v>
      </c>
      <c r="K86" s="1">
        <v>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>
        <v>1</v>
      </c>
      <c r="AO86" s="2"/>
      <c r="AP86" s="2"/>
      <c r="AQ86" s="2"/>
      <c r="AR86" s="2"/>
      <c r="AS86" s="2"/>
      <c r="AT86" s="2"/>
      <c r="AU86" s="2"/>
      <c r="AV86" s="2"/>
      <c r="AW86" s="2"/>
      <c r="AX86" s="1"/>
    </row>
    <row r="87" spans="1:50" x14ac:dyDescent="0.4">
      <c r="A87" s="1" t="str">
        <f t="shared" si="4"/>
        <v>菊池</v>
      </c>
      <c r="B87" s="1" t="str">
        <f>"山岡胃腸科内科"</f>
        <v>山岡胃腸科内科</v>
      </c>
      <c r="C87" s="1" t="str">
        <f t="shared" si="5"/>
        <v>861-1112</v>
      </c>
      <c r="D87" s="1" t="s">
        <v>202</v>
      </c>
      <c r="E87" s="1" t="str">
        <f>"0962489001    "</f>
        <v xml:space="preserve">0962489001    </v>
      </c>
      <c r="F87" s="1" t="str">
        <f>"医療法人　社団　山秀会"</f>
        <v>医療法人　社団　山秀会</v>
      </c>
      <c r="G87" s="1" t="str">
        <f>"H09.08.25"</f>
        <v>H09.08.25</v>
      </c>
      <c r="H87" s="1" t="str">
        <f t="shared" si="2"/>
        <v>開設中</v>
      </c>
      <c r="I87" s="1">
        <v>0</v>
      </c>
      <c r="J87" s="1">
        <v>0</v>
      </c>
      <c r="K87" s="1">
        <v>0</v>
      </c>
      <c r="L87" s="2">
        <v>1</v>
      </c>
      <c r="M87" s="2"/>
      <c r="N87" s="2"/>
      <c r="O87" s="2"/>
      <c r="P87" s="2"/>
      <c r="Q87" s="2"/>
      <c r="R87" s="2">
        <v>1</v>
      </c>
      <c r="S87" s="2">
        <v>1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1"/>
    </row>
    <row r="88" spans="1:50" x14ac:dyDescent="0.4">
      <c r="A88" s="1" t="str">
        <f t="shared" si="4"/>
        <v>菊池</v>
      </c>
      <c r="B88" s="1" t="str">
        <f>"岸眼科"</f>
        <v>岸眼科</v>
      </c>
      <c r="C88" s="1" t="str">
        <f>"861-1212"</f>
        <v>861-1212</v>
      </c>
      <c r="D88" s="1" t="s">
        <v>203</v>
      </c>
      <c r="E88" s="1" t="str">
        <f>"0968380075    "</f>
        <v xml:space="preserve">0968380075    </v>
      </c>
      <c r="F88" s="1" t="str">
        <f>"医療法人　明厚会"</f>
        <v>医療法人　明厚会</v>
      </c>
      <c r="G88" s="1" t="str">
        <f>"H14.01.01"</f>
        <v>H14.01.01</v>
      </c>
      <c r="H88" s="1" t="str">
        <f t="shared" si="2"/>
        <v>開設中</v>
      </c>
      <c r="I88" s="1">
        <v>0</v>
      </c>
      <c r="J88" s="1">
        <v>0</v>
      </c>
      <c r="K88" s="1">
        <v>0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>
        <v>1</v>
      </c>
      <c r="AO88" s="2"/>
      <c r="AP88" s="2"/>
      <c r="AQ88" s="2"/>
      <c r="AR88" s="2"/>
      <c r="AS88" s="2"/>
      <c r="AT88" s="2"/>
      <c r="AU88" s="2"/>
      <c r="AV88" s="2"/>
      <c r="AW88" s="2"/>
      <c r="AX88" s="1"/>
    </row>
    <row r="89" spans="1:50" x14ac:dyDescent="0.4">
      <c r="A89" s="1" t="str">
        <f t="shared" si="4"/>
        <v>菊池</v>
      </c>
      <c r="B89" s="1" t="str">
        <f>"救護施設菊池園"</f>
        <v>救護施設菊池園</v>
      </c>
      <c r="C89" s="1" t="str">
        <f>"861-1201"</f>
        <v>861-1201</v>
      </c>
      <c r="D89" s="1" t="s">
        <v>204</v>
      </c>
      <c r="E89" s="1" t="str">
        <f>"0968382956    "</f>
        <v xml:space="preserve">0968382956    </v>
      </c>
      <c r="F89" s="1" t="str">
        <f>"社会福祉法人　紫翠会"</f>
        <v>社会福祉法人　紫翠会</v>
      </c>
      <c r="G89" s="1" t="str">
        <f>"S47.11.08"</f>
        <v>S47.11.08</v>
      </c>
      <c r="H89" s="1" t="str">
        <f t="shared" si="2"/>
        <v>開設中</v>
      </c>
      <c r="I89" s="1">
        <v>0</v>
      </c>
      <c r="J89" s="1">
        <v>0</v>
      </c>
      <c r="K89" s="1">
        <v>0</v>
      </c>
      <c r="L89" s="2">
        <v>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1</v>
      </c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1"/>
    </row>
    <row r="90" spans="1:50" x14ac:dyDescent="0.4">
      <c r="A90" s="1" t="str">
        <f t="shared" si="4"/>
        <v>菊池</v>
      </c>
      <c r="B90" s="1" t="str">
        <f>"清原医院"</f>
        <v>清原医院</v>
      </c>
      <c r="C90" s="1" t="str">
        <f>"861-1205"</f>
        <v>861-1205</v>
      </c>
      <c r="D90" s="1" t="s">
        <v>205</v>
      </c>
      <c r="E90" s="1" t="str">
        <f>"0968382106    "</f>
        <v xml:space="preserve">0968382106    </v>
      </c>
      <c r="F90" s="1" t="str">
        <f>"医療法人　社団　清杏会"</f>
        <v>医療法人　社団　清杏会</v>
      </c>
      <c r="G90" s="1" t="str">
        <f>"H10.01.01"</f>
        <v>H10.01.01</v>
      </c>
      <c r="H90" s="1" t="str">
        <f t="shared" si="2"/>
        <v>開設中</v>
      </c>
      <c r="I90" s="1">
        <v>0</v>
      </c>
      <c r="J90" s="1">
        <v>0</v>
      </c>
      <c r="K90" s="1">
        <v>0</v>
      </c>
      <c r="L90" s="2">
        <v>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>
        <v>1</v>
      </c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1"/>
    </row>
    <row r="91" spans="1:50" x14ac:dyDescent="0.4">
      <c r="A91" s="1" t="str">
        <f t="shared" si="4"/>
        <v>菊池</v>
      </c>
      <c r="B91" s="1" t="str">
        <f>"公立菊池養生園診療所"</f>
        <v>公立菊池養生園診療所</v>
      </c>
      <c r="C91" s="1" t="str">
        <f>"861-1201"</f>
        <v>861-1201</v>
      </c>
      <c r="D91" s="1" t="s">
        <v>206</v>
      </c>
      <c r="E91" s="1" t="str">
        <f>"0968382820    "</f>
        <v xml:space="preserve">0968382820    </v>
      </c>
      <c r="F91" s="1" t="str">
        <f>"菊池養生園保健組合"</f>
        <v>菊池養生園保健組合</v>
      </c>
      <c r="G91" s="1" t="str">
        <f>"S55.04.30"</f>
        <v>S55.04.30</v>
      </c>
      <c r="H91" s="1" t="str">
        <f t="shared" si="2"/>
        <v>開設中</v>
      </c>
      <c r="I91" s="1">
        <v>0</v>
      </c>
      <c r="J91" s="1">
        <v>0</v>
      </c>
      <c r="K91" s="1">
        <v>0</v>
      </c>
      <c r="L91" s="2">
        <v>1</v>
      </c>
      <c r="M91" s="2">
        <v>1</v>
      </c>
      <c r="N91" s="2">
        <v>1</v>
      </c>
      <c r="O91" s="2"/>
      <c r="P91" s="2"/>
      <c r="Q91" s="2"/>
      <c r="R91" s="2">
        <v>1</v>
      </c>
      <c r="S91" s="2"/>
      <c r="T91" s="2">
        <v>1</v>
      </c>
      <c r="U91" s="2"/>
      <c r="V91" s="2"/>
      <c r="W91" s="2">
        <v>1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1</v>
      </c>
      <c r="AS91" s="2"/>
      <c r="AT91" s="2"/>
      <c r="AU91" s="2"/>
      <c r="AV91" s="2"/>
      <c r="AW91" s="2"/>
      <c r="AX91" s="1"/>
    </row>
    <row r="92" spans="1:50" x14ac:dyDescent="0.4">
      <c r="A92" s="1" t="str">
        <f t="shared" si="4"/>
        <v>菊池</v>
      </c>
      <c r="B92" s="1" t="str">
        <f>"郷胃腸科内科クリニック"</f>
        <v>郷胃腸科内科クリニック</v>
      </c>
      <c r="C92" s="1" t="str">
        <f>"861-1212"</f>
        <v>861-1212</v>
      </c>
      <c r="D92" s="1" t="s">
        <v>207</v>
      </c>
      <c r="E92" s="1" t="str">
        <f>"0968382121    "</f>
        <v xml:space="preserve">0968382121    </v>
      </c>
      <c r="F92" s="1" t="str">
        <f>"医療法人　社団　佳翔会"</f>
        <v>医療法人　社団　佳翔会</v>
      </c>
      <c r="G92" s="1" t="str">
        <f>"H15.08.01"</f>
        <v>H15.08.01</v>
      </c>
      <c r="H92" s="1" t="str">
        <f t="shared" si="2"/>
        <v>開設中</v>
      </c>
      <c r="I92" s="1">
        <v>0</v>
      </c>
      <c r="J92" s="1">
        <v>0</v>
      </c>
      <c r="K92" s="1">
        <v>0</v>
      </c>
      <c r="L92" s="2">
        <v>1</v>
      </c>
      <c r="M92" s="2"/>
      <c r="N92" s="2"/>
      <c r="O92" s="2"/>
      <c r="P92" s="2"/>
      <c r="Q92" s="2"/>
      <c r="R92" s="2"/>
      <c r="S92" s="2">
        <v>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>
        <v>1</v>
      </c>
      <c r="AH92" s="2"/>
      <c r="AI92" s="2"/>
      <c r="AJ92" s="2"/>
      <c r="AK92" s="2"/>
      <c r="AL92" s="2"/>
      <c r="AM92" s="2"/>
      <c r="AN92" s="2"/>
      <c r="AO92" s="2"/>
      <c r="AP92" s="2"/>
      <c r="AQ92" s="2">
        <v>1</v>
      </c>
      <c r="AR92" s="2">
        <v>1</v>
      </c>
      <c r="AS92" s="2"/>
      <c r="AT92" s="2"/>
      <c r="AU92" s="2"/>
      <c r="AV92" s="2"/>
      <c r="AW92" s="2"/>
      <c r="AX92" s="1"/>
    </row>
    <row r="93" spans="1:50" x14ac:dyDescent="0.4">
      <c r="A93" s="1" t="str">
        <f t="shared" si="4"/>
        <v>菊池</v>
      </c>
      <c r="B93" s="1" t="str">
        <f>"田中医院"</f>
        <v>田中医院</v>
      </c>
      <c r="C93" s="1" t="str">
        <f>"861-1201"</f>
        <v>861-1201</v>
      </c>
      <c r="D93" s="1" t="s">
        <v>208</v>
      </c>
      <c r="E93" s="1" t="str">
        <f>"0968387070    "</f>
        <v xml:space="preserve">0968387070    </v>
      </c>
      <c r="F93" s="1" t="str">
        <f>"医療法人　社団　秀薫会"</f>
        <v>医療法人　社団　秀薫会</v>
      </c>
      <c r="G93" s="1" t="str">
        <f>"H08.09.02"</f>
        <v>H08.09.02</v>
      </c>
      <c r="H93" s="1" t="str">
        <f t="shared" ref="H93:H156" si="6">"開設中"</f>
        <v>開設中</v>
      </c>
      <c r="I93" s="1">
        <v>0</v>
      </c>
      <c r="J93" s="1">
        <v>0</v>
      </c>
      <c r="K93" s="1">
        <v>0</v>
      </c>
      <c r="L93" s="2">
        <v>1</v>
      </c>
      <c r="M93" s="2"/>
      <c r="N93" s="2"/>
      <c r="O93" s="2"/>
      <c r="P93" s="2"/>
      <c r="Q93" s="2"/>
      <c r="R93" s="2"/>
      <c r="S93" s="2">
        <v>1</v>
      </c>
      <c r="T93" s="2"/>
      <c r="U93" s="2"/>
      <c r="V93" s="2"/>
      <c r="W93" s="2"/>
      <c r="X93" s="2">
        <v>1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1"/>
    </row>
    <row r="94" spans="1:50" x14ac:dyDescent="0.4">
      <c r="A94" s="1" t="str">
        <f t="shared" si="4"/>
        <v>菊池</v>
      </c>
      <c r="B94" s="1" t="str">
        <f>"特別養護老人ホーム泗水苑医務室"</f>
        <v>特別養護老人ホーム泗水苑医務室</v>
      </c>
      <c r="C94" s="1" t="str">
        <f>"861-1204"</f>
        <v>861-1204</v>
      </c>
      <c r="D94" s="1" t="s">
        <v>209</v>
      </c>
      <c r="E94" s="1" t="str">
        <f>"0968386680    "</f>
        <v xml:space="preserve">0968386680    </v>
      </c>
      <c r="F94" s="1" t="str">
        <f>"社会福祉法人　泗水福祉会"</f>
        <v>社会福祉法人　泗水福祉会</v>
      </c>
      <c r="G94" s="1" t="str">
        <f>"H14.04.15"</f>
        <v>H14.04.15</v>
      </c>
      <c r="H94" s="1" t="str">
        <f t="shared" si="6"/>
        <v>開設中</v>
      </c>
      <c r="I94" s="1">
        <v>0</v>
      </c>
      <c r="J94" s="1">
        <v>0</v>
      </c>
      <c r="K94" s="1">
        <v>0</v>
      </c>
      <c r="L94" s="2">
        <v>1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1"/>
    </row>
    <row r="95" spans="1:50" x14ac:dyDescent="0.4">
      <c r="A95" s="1" t="str">
        <f t="shared" si="4"/>
        <v>菊池</v>
      </c>
      <c r="B95" s="1" t="str">
        <f>"柴田整形外科"</f>
        <v>柴田整形外科</v>
      </c>
      <c r="C95" s="1" t="str">
        <f>"861-1102"</f>
        <v>861-1102</v>
      </c>
      <c r="D95" s="1" t="s">
        <v>210</v>
      </c>
      <c r="E95" s="1" t="str">
        <f>"0963465500    "</f>
        <v xml:space="preserve">0963465500    </v>
      </c>
      <c r="F95" s="1" t="str">
        <f>"医療法人　柴田会"</f>
        <v>医療法人　柴田会</v>
      </c>
      <c r="G95" s="1" t="str">
        <f>"H15.08.01"</f>
        <v>H15.08.01</v>
      </c>
      <c r="H95" s="1" t="str">
        <f t="shared" si="6"/>
        <v>開設中</v>
      </c>
      <c r="I95" s="1">
        <v>0</v>
      </c>
      <c r="J95" s="1">
        <v>0</v>
      </c>
      <c r="K95" s="1">
        <v>0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>
        <v>1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>
        <v>1</v>
      </c>
      <c r="AR95" s="2"/>
      <c r="AS95" s="2"/>
      <c r="AT95" s="2"/>
      <c r="AU95" s="2"/>
      <c r="AV95" s="2"/>
      <c r="AW95" s="2"/>
      <c r="AX95" s="1"/>
    </row>
    <row r="96" spans="1:50" x14ac:dyDescent="0.4">
      <c r="A96" s="1" t="str">
        <f t="shared" si="4"/>
        <v>菊池</v>
      </c>
      <c r="B96" s="1" t="str">
        <f>"障害者支援施設　白鳩園"</f>
        <v>障害者支援施設　白鳩園</v>
      </c>
      <c r="C96" s="1" t="str">
        <f>"861-1104"</f>
        <v>861-1104</v>
      </c>
      <c r="D96" s="1" t="s">
        <v>211</v>
      </c>
      <c r="E96" s="1" t="str">
        <f>"0962420115    "</f>
        <v xml:space="preserve">0962420115    </v>
      </c>
      <c r="F96" s="1" t="str">
        <f>"社会福祉法人　山紫会"</f>
        <v>社会福祉法人　山紫会</v>
      </c>
      <c r="G96" s="1" t="str">
        <f>"S45.06.09"</f>
        <v>S45.06.09</v>
      </c>
      <c r="H96" s="1" t="str">
        <f t="shared" si="6"/>
        <v>開設中</v>
      </c>
      <c r="I96" s="1">
        <v>0</v>
      </c>
      <c r="J96" s="1">
        <v>0</v>
      </c>
      <c r="K96" s="1">
        <v>0</v>
      </c>
      <c r="L96" s="2">
        <v>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1"/>
    </row>
    <row r="97" spans="1:50" x14ac:dyDescent="0.4">
      <c r="A97" s="1" t="str">
        <f t="shared" si="4"/>
        <v>菊池</v>
      </c>
      <c r="B97" s="1" t="str">
        <f>"庄嶋医院"</f>
        <v>庄嶋医院</v>
      </c>
      <c r="C97" s="1" t="str">
        <f>"861-1101"</f>
        <v>861-1101</v>
      </c>
      <c r="D97" s="1" t="s">
        <v>212</v>
      </c>
      <c r="E97" s="1" t="str">
        <f>"0962423388    "</f>
        <v xml:space="preserve">0962423388    </v>
      </c>
      <c r="F97" s="1" t="str">
        <f>"医療法人　社団　庄嶋会"</f>
        <v>医療法人　社団　庄嶋会</v>
      </c>
      <c r="G97" s="1" t="str">
        <f>"H07.04.01"</f>
        <v>H07.04.01</v>
      </c>
      <c r="H97" s="1" t="str">
        <f t="shared" si="6"/>
        <v>開設中</v>
      </c>
      <c r="I97" s="1">
        <v>0</v>
      </c>
      <c r="J97" s="1">
        <v>0</v>
      </c>
      <c r="K97" s="1">
        <v>0</v>
      </c>
      <c r="L97" s="2"/>
      <c r="M97" s="2"/>
      <c r="N97" s="2"/>
      <c r="O97" s="2"/>
      <c r="P97" s="2"/>
      <c r="Q97" s="2">
        <v>1</v>
      </c>
      <c r="R97" s="2"/>
      <c r="S97" s="2">
        <v>1</v>
      </c>
      <c r="T97" s="2"/>
      <c r="U97" s="2"/>
      <c r="V97" s="2"/>
      <c r="W97" s="2"/>
      <c r="X97" s="2">
        <v>1</v>
      </c>
      <c r="Y97" s="2"/>
      <c r="Z97" s="2"/>
      <c r="AA97" s="2"/>
      <c r="AB97" s="2"/>
      <c r="AC97" s="2"/>
      <c r="AD97" s="2"/>
      <c r="AE97" s="2"/>
      <c r="AF97" s="2"/>
      <c r="AG97" s="2">
        <v>1</v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>
        <v>1</v>
      </c>
      <c r="AX97" s="1"/>
    </row>
    <row r="98" spans="1:50" x14ac:dyDescent="0.4">
      <c r="A98" s="1" t="str">
        <f t="shared" si="4"/>
        <v>菊池</v>
      </c>
      <c r="B98" s="1" t="str">
        <f>"障害者支援施設　くぬぎ園"</f>
        <v>障害者支援施設　くぬぎ園</v>
      </c>
      <c r="C98" s="1" t="str">
        <f>"861-1104"</f>
        <v>861-1104</v>
      </c>
      <c r="D98" s="1" t="s">
        <v>213</v>
      </c>
      <c r="E98" s="1" t="str">
        <f>"0962425666    "</f>
        <v xml:space="preserve">0962425666    </v>
      </c>
      <c r="F98" s="1" t="str">
        <f>"社会福祉法人　山紫会"</f>
        <v>社会福祉法人　山紫会</v>
      </c>
      <c r="G98" s="1" t="str">
        <f>"H06.07.01"</f>
        <v>H06.07.01</v>
      </c>
      <c r="H98" s="1" t="str">
        <f t="shared" si="6"/>
        <v>開設中</v>
      </c>
      <c r="I98" s="1">
        <v>0</v>
      </c>
      <c r="J98" s="1">
        <v>0</v>
      </c>
      <c r="K98" s="1">
        <v>0</v>
      </c>
      <c r="L98" s="2">
        <v>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1"/>
    </row>
    <row r="99" spans="1:50" x14ac:dyDescent="0.4">
      <c r="A99" s="1" t="str">
        <f t="shared" si="4"/>
        <v>菊池</v>
      </c>
      <c r="B99" s="1" t="str">
        <f>"特別養護老人ホーム　菊香園"</f>
        <v>特別養護老人ホーム　菊香園</v>
      </c>
      <c r="C99" s="1" t="str">
        <f>"861-1104"</f>
        <v>861-1104</v>
      </c>
      <c r="D99" s="1" t="s">
        <v>214</v>
      </c>
      <c r="E99" s="1" t="str">
        <f>"0962420138    "</f>
        <v xml:space="preserve">0962420138    </v>
      </c>
      <c r="F99" s="1" t="str">
        <f>"社会福祉法人　山紫会"</f>
        <v>社会福祉法人　山紫会</v>
      </c>
      <c r="G99" s="1" t="str">
        <f>"S46.06.04"</f>
        <v>S46.06.04</v>
      </c>
      <c r="H99" s="1" t="str">
        <f t="shared" si="6"/>
        <v>開設中</v>
      </c>
      <c r="I99" s="1">
        <v>0</v>
      </c>
      <c r="J99" s="1">
        <v>0</v>
      </c>
      <c r="K99" s="1">
        <v>0</v>
      </c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1"/>
    </row>
    <row r="100" spans="1:50" x14ac:dyDescent="0.4">
      <c r="A100" s="1" t="str">
        <f t="shared" si="4"/>
        <v>菊池</v>
      </c>
      <c r="B100" s="1" t="str">
        <f>"三菱電機株式会社熊本事業所診療所"</f>
        <v>三菱電機株式会社熊本事業所診療所</v>
      </c>
      <c r="C100" s="1" t="str">
        <f>"861-1104"</f>
        <v>861-1104</v>
      </c>
      <c r="D100" s="1" t="s">
        <v>215</v>
      </c>
      <c r="E100" s="1" t="str">
        <f>"0962425714    "</f>
        <v xml:space="preserve">0962425714    </v>
      </c>
      <c r="F100" s="1" t="str">
        <f>"三菱電気株式会社熊本事業所"</f>
        <v>三菱電気株式会社熊本事業所</v>
      </c>
      <c r="G100" s="1" t="str">
        <f>"S59.05.21"</f>
        <v>S59.05.21</v>
      </c>
      <c r="H100" s="1" t="str">
        <f t="shared" si="6"/>
        <v>開設中</v>
      </c>
      <c r="I100" s="1">
        <v>0</v>
      </c>
      <c r="J100" s="1">
        <v>0</v>
      </c>
      <c r="K100" s="1">
        <v>0</v>
      </c>
      <c r="L100" s="2">
        <v>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>
        <v>1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>
        <v>1</v>
      </c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1"/>
    </row>
    <row r="101" spans="1:50" x14ac:dyDescent="0.4">
      <c r="A101" s="1" t="str">
        <f t="shared" si="4"/>
        <v>菊池</v>
      </c>
      <c r="B101" s="1" t="str">
        <f>"森本整形外科医院"</f>
        <v>森本整形外科医院</v>
      </c>
      <c r="C101" s="1" t="str">
        <f>"861-1104"</f>
        <v>861-1104</v>
      </c>
      <c r="D101" s="1" t="s">
        <v>216</v>
      </c>
      <c r="E101" s="1" t="str">
        <f>"0962422231    "</f>
        <v xml:space="preserve">0962422231    </v>
      </c>
      <c r="F101" s="1" t="str">
        <f>"森本敬三"</f>
        <v>森本敬三</v>
      </c>
      <c r="G101" s="1" t="str">
        <f>"S60.01.30"</f>
        <v>S60.01.30</v>
      </c>
      <c r="H101" s="1" t="str">
        <f t="shared" si="6"/>
        <v>開設中</v>
      </c>
      <c r="I101" s="1">
        <v>0</v>
      </c>
      <c r="J101" s="1">
        <v>0</v>
      </c>
      <c r="K101" s="1">
        <v>0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>
        <v>1</v>
      </c>
      <c r="W101" s="2"/>
      <c r="X101" s="2"/>
      <c r="Y101" s="2">
        <v>1</v>
      </c>
      <c r="Z101" s="2">
        <v>1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>
        <v>1</v>
      </c>
      <c r="AR101" s="2"/>
      <c r="AS101" s="2"/>
      <c r="AT101" s="2"/>
      <c r="AU101" s="2"/>
      <c r="AV101" s="2"/>
      <c r="AW101" s="2"/>
      <c r="AX101" s="1"/>
    </row>
    <row r="102" spans="1:50" x14ac:dyDescent="0.4">
      <c r="A102" s="1" t="str">
        <f t="shared" si="4"/>
        <v>菊池</v>
      </c>
      <c r="B102" s="1" t="str">
        <f>"大津中村整形外科"</f>
        <v>大津中村整形外科</v>
      </c>
      <c r="C102" s="1" t="str">
        <f>"869-1235"</f>
        <v>869-1235</v>
      </c>
      <c r="D102" s="1" t="s">
        <v>217</v>
      </c>
      <c r="E102" s="1" t="str">
        <f>"0962938888    "</f>
        <v xml:space="preserve">0962938888    </v>
      </c>
      <c r="F102" s="1" t="str">
        <f>"医療法人社団岩倉会"</f>
        <v>医療法人社団岩倉会</v>
      </c>
      <c r="G102" s="1" t="str">
        <f>"H17.04.01"</f>
        <v>H17.04.01</v>
      </c>
      <c r="H102" s="1" t="str">
        <f t="shared" si="6"/>
        <v>開設中</v>
      </c>
      <c r="I102" s="1">
        <v>19</v>
      </c>
      <c r="J102" s="1">
        <v>19</v>
      </c>
      <c r="K102" s="1">
        <v>0</v>
      </c>
      <c r="L102" s="2">
        <v>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>
        <v>1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>
        <v>1</v>
      </c>
      <c r="AR102" s="2"/>
      <c r="AS102" s="2"/>
      <c r="AT102" s="2"/>
      <c r="AU102" s="2"/>
      <c r="AV102" s="2"/>
      <c r="AW102" s="2"/>
      <c r="AX102" s="1"/>
    </row>
    <row r="103" spans="1:50" x14ac:dyDescent="0.4">
      <c r="A103" s="1" t="str">
        <f t="shared" si="4"/>
        <v>菊池</v>
      </c>
      <c r="B103" s="1" t="str">
        <f>"菊池広域保健センター"</f>
        <v>菊池広域保健センター</v>
      </c>
      <c r="C103" s="1" t="str">
        <f>"861-1201"</f>
        <v>861-1201</v>
      </c>
      <c r="D103" s="1" t="s">
        <v>218</v>
      </c>
      <c r="E103" s="1" t="str">
        <f>"0968382820    "</f>
        <v xml:space="preserve">0968382820    </v>
      </c>
      <c r="F103" s="1" t="str">
        <f>"菊池養生園保健組合"</f>
        <v>菊池養生園保健組合</v>
      </c>
      <c r="G103" s="1" t="str">
        <f>"H17.06.07"</f>
        <v>H17.06.07</v>
      </c>
      <c r="H103" s="1" t="str">
        <f t="shared" si="6"/>
        <v>開設中</v>
      </c>
      <c r="I103" s="1">
        <v>0</v>
      </c>
      <c r="J103" s="1">
        <v>0</v>
      </c>
      <c r="K103" s="1">
        <v>0</v>
      </c>
      <c r="L103" s="2">
        <v>1</v>
      </c>
      <c r="M103" s="2"/>
      <c r="N103" s="2"/>
      <c r="O103" s="2"/>
      <c r="P103" s="2"/>
      <c r="Q103" s="2"/>
      <c r="R103" s="2">
        <v>1</v>
      </c>
      <c r="S103" s="2"/>
      <c r="T103" s="2">
        <v>1</v>
      </c>
      <c r="U103" s="2"/>
      <c r="V103" s="2"/>
      <c r="W103" s="2">
        <v>1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>
        <v>1</v>
      </c>
      <c r="AS103" s="2"/>
      <c r="AT103" s="2"/>
      <c r="AU103" s="2"/>
      <c r="AV103" s="2"/>
      <c r="AW103" s="2"/>
      <c r="AX103" s="1"/>
    </row>
    <row r="104" spans="1:50" x14ac:dyDescent="0.4">
      <c r="A104" s="1" t="str">
        <f t="shared" si="4"/>
        <v>菊池</v>
      </c>
      <c r="B104" s="1" t="str">
        <f>"副島耳鼻咽喉科クリニック"</f>
        <v>副島耳鼻咽喉科クリニック</v>
      </c>
      <c r="C104" s="1" t="str">
        <f>"861-1102"</f>
        <v>861-1102</v>
      </c>
      <c r="D104" s="1" t="s">
        <v>219</v>
      </c>
      <c r="E104" s="1" t="str">
        <f>"0962491777    "</f>
        <v xml:space="preserve">0962491777    </v>
      </c>
      <c r="F104" s="1" t="str">
        <f>"副島会"</f>
        <v>副島会</v>
      </c>
      <c r="G104" s="1" t="str">
        <f>"H17.08.01"</f>
        <v>H17.08.01</v>
      </c>
      <c r="H104" s="1" t="str">
        <f t="shared" si="6"/>
        <v>開設中</v>
      </c>
      <c r="I104" s="1">
        <v>0</v>
      </c>
      <c r="J104" s="1">
        <v>0</v>
      </c>
      <c r="K104" s="1">
        <v>0</v>
      </c>
      <c r="L104" s="2"/>
      <c r="M104" s="2"/>
      <c r="N104" s="2"/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>
        <v>1</v>
      </c>
      <c r="AP104" s="2"/>
      <c r="AQ104" s="2"/>
      <c r="AR104" s="2"/>
      <c r="AS104" s="2"/>
      <c r="AT104" s="2"/>
      <c r="AU104" s="2"/>
      <c r="AV104" s="2"/>
      <c r="AW104" s="2"/>
      <c r="AX104" s="1"/>
    </row>
    <row r="105" spans="1:50" x14ac:dyDescent="0.4">
      <c r="A105" s="1" t="str">
        <f t="shared" si="4"/>
        <v>菊池</v>
      </c>
      <c r="B105" s="1" t="str">
        <f>"えうら耳鼻咽喉科クリニック"</f>
        <v>えうら耳鼻咽喉科クリニック</v>
      </c>
      <c r="C105" s="1" t="str">
        <f>"869-1235"</f>
        <v>869-1235</v>
      </c>
      <c r="D105" s="1" t="s">
        <v>220</v>
      </c>
      <c r="E105" s="1" t="str">
        <f>"0963403387    "</f>
        <v xml:space="preserve">0963403387    </v>
      </c>
      <c r="F105" s="1" t="str">
        <f>"医療法人　正佑会"</f>
        <v>医療法人　正佑会</v>
      </c>
      <c r="G105" s="1" t="str">
        <f>"H17.09.01"</f>
        <v>H17.09.01</v>
      </c>
      <c r="H105" s="1" t="str">
        <f t="shared" si="6"/>
        <v>開設中</v>
      </c>
      <c r="I105" s="1">
        <v>0</v>
      </c>
      <c r="J105" s="1">
        <v>0</v>
      </c>
      <c r="K105" s="1">
        <v>0</v>
      </c>
      <c r="L105" s="2"/>
      <c r="M105" s="2"/>
      <c r="N105" s="2"/>
      <c r="O105" s="2"/>
      <c r="P105" s="2"/>
      <c r="Q105" s="2"/>
      <c r="R105" s="2"/>
      <c r="S105" s="2"/>
      <c r="T105" s="2"/>
      <c r="U105" s="2">
        <v>1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>
        <v>1</v>
      </c>
      <c r="AP105" s="2"/>
      <c r="AQ105" s="2"/>
      <c r="AR105" s="2"/>
      <c r="AS105" s="2"/>
      <c r="AT105" s="2"/>
      <c r="AU105" s="2"/>
      <c r="AV105" s="2"/>
      <c r="AW105" s="2"/>
      <c r="AX105" s="1"/>
    </row>
    <row r="106" spans="1:50" x14ac:dyDescent="0.4">
      <c r="A106" s="1" t="str">
        <f t="shared" si="4"/>
        <v>菊池</v>
      </c>
      <c r="B106" s="1" t="str">
        <f>"よしもと小児科"</f>
        <v>よしもと小児科</v>
      </c>
      <c r="C106" s="1" t="str">
        <f>"869-1102"</f>
        <v>869-1102</v>
      </c>
      <c r="D106" s="1" t="s">
        <v>221</v>
      </c>
      <c r="E106" s="1" t="str">
        <f>"0962332520    "</f>
        <v xml:space="preserve">0962332520    </v>
      </c>
      <c r="F106" s="1" t="str">
        <f>"吉本会"</f>
        <v>吉本会</v>
      </c>
      <c r="G106" s="1" t="str">
        <f>"H17.12.01"</f>
        <v>H17.12.01</v>
      </c>
      <c r="H106" s="1" t="str">
        <f t="shared" si="6"/>
        <v>開設中</v>
      </c>
      <c r="I106" s="1">
        <v>0</v>
      </c>
      <c r="J106" s="1">
        <v>0</v>
      </c>
      <c r="K106" s="1">
        <v>0</v>
      </c>
      <c r="L106" s="2"/>
      <c r="M106" s="2"/>
      <c r="N106" s="2"/>
      <c r="O106" s="2"/>
      <c r="P106" s="2"/>
      <c r="Q106" s="2"/>
      <c r="R106" s="2"/>
      <c r="S106" s="2"/>
      <c r="T106" s="2"/>
      <c r="U106" s="2">
        <v>1</v>
      </c>
      <c r="V106" s="2"/>
      <c r="W106" s="2">
        <v>1</v>
      </c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1"/>
    </row>
    <row r="107" spans="1:50" x14ac:dyDescent="0.4">
      <c r="A107" s="1" t="str">
        <f t="shared" ref="A107:A138" si="7">"菊池"</f>
        <v>菊池</v>
      </c>
      <c r="B107" s="1" t="str">
        <f>"たぶち内科循環器科"</f>
        <v>たぶち内科循環器科</v>
      </c>
      <c r="C107" s="1" t="str">
        <f>"869-1108"</f>
        <v>869-1108</v>
      </c>
      <c r="D107" s="1" t="s">
        <v>222</v>
      </c>
      <c r="E107" s="1" t="str">
        <f>"0962333588    "</f>
        <v xml:space="preserve">0962333588    </v>
      </c>
      <c r="F107" s="1" t="str">
        <f>"田渕　利文"</f>
        <v>田渕　利文</v>
      </c>
      <c r="G107" s="1" t="str">
        <f>"H18.03.15"</f>
        <v>H18.03.15</v>
      </c>
      <c r="H107" s="1" t="str">
        <f t="shared" si="6"/>
        <v>開設中</v>
      </c>
      <c r="I107" s="1">
        <v>0</v>
      </c>
      <c r="J107" s="1">
        <v>0</v>
      </c>
      <c r="K107" s="1">
        <v>0</v>
      </c>
      <c r="L107" s="2">
        <v>1</v>
      </c>
      <c r="M107" s="2">
        <v>1</v>
      </c>
      <c r="N107" s="2"/>
      <c r="O107" s="2"/>
      <c r="P107" s="2">
        <v>1</v>
      </c>
      <c r="Q107" s="2">
        <v>1</v>
      </c>
      <c r="R107" s="2"/>
      <c r="S107" s="2"/>
      <c r="T107" s="2">
        <v>1</v>
      </c>
      <c r="U107" s="2">
        <v>1</v>
      </c>
      <c r="V107" s="2"/>
      <c r="W107" s="2">
        <v>1</v>
      </c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2"/>
      <c r="AK107" s="2"/>
      <c r="AL107" s="2"/>
      <c r="AM107" s="2"/>
      <c r="AN107" s="2"/>
      <c r="AO107" s="2"/>
      <c r="AP107" s="2"/>
      <c r="AQ107" s="2"/>
      <c r="AR107" s="2">
        <v>1</v>
      </c>
      <c r="AS107" s="2"/>
      <c r="AT107" s="2"/>
      <c r="AU107" s="2"/>
      <c r="AV107" s="2"/>
      <c r="AW107" s="2"/>
      <c r="AX107" s="1"/>
    </row>
    <row r="108" spans="1:50" x14ac:dyDescent="0.4">
      <c r="A108" s="1" t="str">
        <f t="shared" si="7"/>
        <v>菊池</v>
      </c>
      <c r="B108" s="1" t="str">
        <f>"かつき皮膚科医院"</f>
        <v>かつき皮膚科医院</v>
      </c>
      <c r="C108" s="1" t="str">
        <f>"861-1306"</f>
        <v>861-1306</v>
      </c>
      <c r="D108" s="1" t="s">
        <v>223</v>
      </c>
      <c r="E108" s="1" t="str">
        <f>"0968245500    "</f>
        <v xml:space="preserve">0968245500    </v>
      </c>
      <c r="F108" s="1" t="str">
        <f>"颯悠会"</f>
        <v>颯悠会</v>
      </c>
      <c r="G108" s="1" t="str">
        <f>"H18.05.01"</f>
        <v>H18.05.01</v>
      </c>
      <c r="H108" s="1" t="str">
        <f t="shared" si="6"/>
        <v>開設中</v>
      </c>
      <c r="I108" s="1">
        <v>0</v>
      </c>
      <c r="J108" s="1">
        <v>0</v>
      </c>
      <c r="K108" s="1">
        <v>0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>
        <v>1</v>
      </c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1"/>
    </row>
    <row r="109" spans="1:50" x14ac:dyDescent="0.4">
      <c r="A109" s="1" t="str">
        <f t="shared" si="7"/>
        <v>菊池</v>
      </c>
      <c r="B109" s="1" t="str">
        <f>"医療法人　西山医院"</f>
        <v>医療法人　西山医院</v>
      </c>
      <c r="C109" s="1" t="str">
        <f>"861-1331"</f>
        <v>861-1331</v>
      </c>
      <c r="D109" s="1" t="s">
        <v>224</v>
      </c>
      <c r="E109" s="1" t="str">
        <f>"0968252561    "</f>
        <v xml:space="preserve">0968252561    </v>
      </c>
      <c r="F109" s="1" t="str">
        <f>"医療法人　西山医院"</f>
        <v>医療法人　西山医院</v>
      </c>
      <c r="G109" s="1" t="str">
        <f>"H18.06.01"</f>
        <v>H18.06.01</v>
      </c>
      <c r="H109" s="1" t="str">
        <f t="shared" si="6"/>
        <v>開設中</v>
      </c>
      <c r="I109" s="1">
        <v>0</v>
      </c>
      <c r="J109" s="1">
        <v>0</v>
      </c>
      <c r="K109" s="1">
        <v>0</v>
      </c>
      <c r="L109" s="2">
        <v>1</v>
      </c>
      <c r="M109" s="2"/>
      <c r="N109" s="2"/>
      <c r="O109" s="2"/>
      <c r="P109" s="2"/>
      <c r="Q109" s="2"/>
      <c r="R109" s="2"/>
      <c r="S109" s="2"/>
      <c r="T109" s="2">
        <v>1</v>
      </c>
      <c r="U109" s="2"/>
      <c r="V109" s="2"/>
      <c r="W109" s="2">
        <v>1</v>
      </c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>
        <v>1</v>
      </c>
      <c r="AR109" s="2"/>
      <c r="AS109" s="2"/>
      <c r="AT109" s="2"/>
      <c r="AU109" s="2"/>
      <c r="AV109" s="2"/>
      <c r="AW109" s="2"/>
      <c r="AX109" s="1"/>
    </row>
    <row r="110" spans="1:50" x14ac:dyDescent="0.4">
      <c r="A110" s="1" t="str">
        <f t="shared" si="7"/>
        <v>菊池</v>
      </c>
      <c r="B110" s="1" t="str">
        <f>"宮本内科クリニック"</f>
        <v>宮本内科クリニック</v>
      </c>
      <c r="C110" s="1" t="str">
        <f>"861-1331"</f>
        <v>861-1331</v>
      </c>
      <c r="D110" s="1" t="s">
        <v>225</v>
      </c>
      <c r="E110" s="1" t="str">
        <f>"0968252047    "</f>
        <v xml:space="preserve">0968252047    </v>
      </c>
      <c r="F110" s="1" t="str">
        <f>"医療法人　宮交会"</f>
        <v>医療法人　宮交会</v>
      </c>
      <c r="G110" s="1" t="str">
        <f>"H18.09.01"</f>
        <v>H18.09.01</v>
      </c>
      <c r="H110" s="1" t="str">
        <f t="shared" si="6"/>
        <v>開設中</v>
      </c>
      <c r="I110" s="1">
        <v>0</v>
      </c>
      <c r="J110" s="1">
        <v>0</v>
      </c>
      <c r="K110" s="1">
        <v>0</v>
      </c>
      <c r="L110" s="2">
        <v>1</v>
      </c>
      <c r="M110" s="2"/>
      <c r="N110" s="2"/>
      <c r="O110" s="2"/>
      <c r="P110" s="2"/>
      <c r="Q110" s="2"/>
      <c r="R110" s="2"/>
      <c r="S110" s="2"/>
      <c r="T110" s="2">
        <v>1</v>
      </c>
      <c r="U110" s="2"/>
      <c r="V110" s="2"/>
      <c r="W110" s="2">
        <v>1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1"/>
    </row>
    <row r="111" spans="1:50" x14ac:dyDescent="0.4">
      <c r="A111" s="1" t="str">
        <f t="shared" si="7"/>
        <v>菊池</v>
      </c>
      <c r="B111" s="1" t="str">
        <f>"しばた内科クリニック"</f>
        <v>しばた内科クリニック</v>
      </c>
      <c r="C111" s="1" t="str">
        <f>"869-1235"</f>
        <v>869-1235</v>
      </c>
      <c r="D111" s="1" t="s">
        <v>226</v>
      </c>
      <c r="E111" s="1" t="str">
        <f>"0962932050    "</f>
        <v xml:space="preserve">0962932050    </v>
      </c>
      <c r="F111" s="1" t="str">
        <f>"柴田　昌一朗"</f>
        <v>柴田　昌一朗</v>
      </c>
      <c r="G111" s="1" t="str">
        <f>"H18.09.19"</f>
        <v>H18.09.19</v>
      </c>
      <c r="H111" s="1" t="str">
        <f t="shared" si="6"/>
        <v>開設中</v>
      </c>
      <c r="I111" s="1">
        <v>0</v>
      </c>
      <c r="J111" s="1">
        <v>0</v>
      </c>
      <c r="K111" s="1">
        <v>0</v>
      </c>
      <c r="L111" s="2">
        <v>1</v>
      </c>
      <c r="M111" s="2"/>
      <c r="N111" s="2"/>
      <c r="O111" s="2"/>
      <c r="P111" s="2"/>
      <c r="Q111" s="2">
        <v>1</v>
      </c>
      <c r="R111" s="2">
        <v>1</v>
      </c>
      <c r="S111" s="2"/>
      <c r="T111" s="2"/>
      <c r="U111" s="2">
        <v>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1"/>
    </row>
    <row r="112" spans="1:50" x14ac:dyDescent="0.4">
      <c r="A112" s="1" t="str">
        <f t="shared" si="7"/>
        <v>菊池</v>
      </c>
      <c r="B112" s="1" t="str">
        <f>"宮川内科医院"</f>
        <v>宮川内科医院</v>
      </c>
      <c r="C112" s="1" t="str">
        <f>"861-1113"</f>
        <v>861-1113</v>
      </c>
      <c r="D112" s="1" t="s">
        <v>227</v>
      </c>
      <c r="E112" s="1" t="str">
        <f>"0962482155    "</f>
        <v xml:space="preserve">0962482155    </v>
      </c>
      <c r="F112" s="1" t="str">
        <f>"五岳会"</f>
        <v>五岳会</v>
      </c>
      <c r="G112" s="1" t="str">
        <f>"H18.12.01"</f>
        <v>H18.12.01</v>
      </c>
      <c r="H112" s="1" t="str">
        <f t="shared" si="6"/>
        <v>開設中</v>
      </c>
      <c r="I112" s="1">
        <v>0</v>
      </c>
      <c r="J112" s="1">
        <v>0</v>
      </c>
      <c r="K112" s="1">
        <v>0</v>
      </c>
      <c r="L112" s="2">
        <v>1</v>
      </c>
      <c r="M112" s="2"/>
      <c r="N112" s="2"/>
      <c r="O112" s="2"/>
      <c r="P112" s="2"/>
      <c r="Q112" s="2"/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1"/>
    </row>
    <row r="113" spans="1:50" x14ac:dyDescent="0.4">
      <c r="A113" s="1" t="str">
        <f t="shared" si="7"/>
        <v>菊池</v>
      </c>
      <c r="B113" s="1" t="str">
        <f>"後藤整形外科医院"</f>
        <v>後藤整形外科医院</v>
      </c>
      <c r="C113" s="1" t="str">
        <f>"861-1331"</f>
        <v>861-1331</v>
      </c>
      <c r="D113" s="1" t="s">
        <v>228</v>
      </c>
      <c r="E113" s="1" t="str">
        <f>"0968252906    "</f>
        <v xml:space="preserve">0968252906    </v>
      </c>
      <c r="F113" s="1" t="str">
        <f>"医療法人　後藤会"</f>
        <v>医療法人　後藤会</v>
      </c>
      <c r="G113" s="1" t="str">
        <f>"H19.01.01"</f>
        <v>H19.01.01</v>
      </c>
      <c r="H113" s="1" t="str">
        <f t="shared" si="6"/>
        <v>開設中</v>
      </c>
      <c r="I113" s="1">
        <v>0</v>
      </c>
      <c r="J113" s="1">
        <v>0</v>
      </c>
      <c r="K113" s="1">
        <v>0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>
        <v>1</v>
      </c>
      <c r="W113" s="2"/>
      <c r="X113" s="2"/>
      <c r="Y113" s="2">
        <v>1</v>
      </c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>
        <v>1</v>
      </c>
      <c r="AR113" s="2"/>
      <c r="AS113" s="2"/>
      <c r="AT113" s="2"/>
      <c r="AU113" s="2"/>
      <c r="AV113" s="2"/>
      <c r="AW113" s="2"/>
      <c r="AX113" s="1"/>
    </row>
    <row r="114" spans="1:50" x14ac:dyDescent="0.4">
      <c r="A114" s="1" t="str">
        <f t="shared" si="7"/>
        <v>菊池</v>
      </c>
      <c r="B114" s="1" t="str">
        <f>"堀田眼科"</f>
        <v>堀田眼科</v>
      </c>
      <c r="C114" s="1" t="str">
        <f>"869-1103"</f>
        <v>869-1103</v>
      </c>
      <c r="D114" s="1" t="s">
        <v>229</v>
      </c>
      <c r="E114" s="1" t="str">
        <f>"0962923455    "</f>
        <v xml:space="preserve">0962923455    </v>
      </c>
      <c r="F114" s="1" t="str">
        <f>"堀田眼科"</f>
        <v>堀田眼科</v>
      </c>
      <c r="G114" s="1" t="str">
        <f>"H19.02.01"</f>
        <v>H19.02.01</v>
      </c>
      <c r="H114" s="1" t="str">
        <f t="shared" si="6"/>
        <v>開設中</v>
      </c>
      <c r="I114" s="1">
        <v>0</v>
      </c>
      <c r="J114" s="1">
        <v>0</v>
      </c>
      <c r="K114" s="1">
        <v>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>
        <v>1</v>
      </c>
      <c r="AO114" s="2"/>
      <c r="AP114" s="2"/>
      <c r="AQ114" s="2"/>
      <c r="AR114" s="2"/>
      <c r="AS114" s="2"/>
      <c r="AT114" s="2"/>
      <c r="AU114" s="2"/>
      <c r="AV114" s="2"/>
      <c r="AW114" s="2"/>
      <c r="AX114" s="1"/>
    </row>
    <row r="115" spans="1:50" x14ac:dyDescent="0.4">
      <c r="A115" s="1" t="str">
        <f t="shared" si="7"/>
        <v>菊池</v>
      </c>
      <c r="B115" s="1" t="str">
        <f>"本多内科胃腸科医院"</f>
        <v>本多内科胃腸科医院</v>
      </c>
      <c r="C115" s="1" t="str">
        <f>"869-1105"</f>
        <v>869-1105</v>
      </c>
      <c r="D115" s="1" t="s">
        <v>230</v>
      </c>
      <c r="E115" s="1" t="str">
        <f>"0962322021    "</f>
        <v xml:space="preserve">0962322021    </v>
      </c>
      <c r="F115" s="1" t="str">
        <f>"医療法人社団慶仁会"</f>
        <v>医療法人社団慶仁会</v>
      </c>
      <c r="G115" s="1" t="str">
        <f>"H19.03.01"</f>
        <v>H19.03.01</v>
      </c>
      <c r="H115" s="1" t="str">
        <f t="shared" si="6"/>
        <v>開設中</v>
      </c>
      <c r="I115" s="1">
        <v>0</v>
      </c>
      <c r="J115" s="1">
        <v>0</v>
      </c>
      <c r="K115" s="1">
        <v>0</v>
      </c>
      <c r="L115" s="2">
        <v>1</v>
      </c>
      <c r="M115" s="2"/>
      <c r="N115" s="2"/>
      <c r="O115" s="2"/>
      <c r="P115" s="2"/>
      <c r="Q115" s="2"/>
      <c r="R115" s="2">
        <v>1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1"/>
    </row>
    <row r="116" spans="1:50" x14ac:dyDescent="0.4">
      <c r="A116" s="1" t="str">
        <f t="shared" si="7"/>
        <v>菊池</v>
      </c>
      <c r="B116" s="1" t="str">
        <f>"かとう整形外科　光の森"</f>
        <v>かとう整形外科　光の森</v>
      </c>
      <c r="C116" s="1" t="str">
        <f>"869-1108"</f>
        <v>869-1108</v>
      </c>
      <c r="D116" s="1" t="s">
        <v>231</v>
      </c>
      <c r="E116" s="1" t="str">
        <f>"0963492255    "</f>
        <v xml:space="preserve">0963492255    </v>
      </c>
      <c r="F116" s="1" t="str">
        <f>"医療法人　椎の葉会"</f>
        <v>医療法人　椎の葉会</v>
      </c>
      <c r="G116" s="1" t="str">
        <f>"H19.07.01"</f>
        <v>H19.07.01</v>
      </c>
      <c r="H116" s="1" t="str">
        <f t="shared" si="6"/>
        <v>開設中</v>
      </c>
      <c r="I116" s="1">
        <v>0</v>
      </c>
      <c r="J116" s="1">
        <v>0</v>
      </c>
      <c r="K116" s="1">
        <v>0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>
        <v>1</v>
      </c>
      <c r="W116" s="2"/>
      <c r="X116" s="2"/>
      <c r="Y116" s="2">
        <v>1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>
        <v>1</v>
      </c>
      <c r="AR116" s="2"/>
      <c r="AS116" s="2"/>
      <c r="AT116" s="2"/>
      <c r="AU116" s="2"/>
      <c r="AV116" s="2"/>
      <c r="AW116" s="2"/>
      <c r="AX116" s="1"/>
    </row>
    <row r="117" spans="1:50" x14ac:dyDescent="0.4">
      <c r="A117" s="1" t="str">
        <f t="shared" si="7"/>
        <v>菊池</v>
      </c>
      <c r="B117" s="1" t="str">
        <f>"いはら形成外科クリニック"</f>
        <v>いはら形成外科クリニック</v>
      </c>
      <c r="C117" s="1" t="str">
        <f>"869-1108"</f>
        <v>869-1108</v>
      </c>
      <c r="D117" s="1" t="s">
        <v>232</v>
      </c>
      <c r="E117" s="1" t="str">
        <f>"0963402560    "</f>
        <v xml:space="preserve">0963402560    </v>
      </c>
      <c r="F117" s="1" t="str">
        <f>"猪原英二"</f>
        <v>猪原英二</v>
      </c>
      <c r="G117" s="1" t="str">
        <f>"H19.10.15"</f>
        <v>H19.10.15</v>
      </c>
      <c r="H117" s="1" t="str">
        <f t="shared" si="6"/>
        <v>開設中</v>
      </c>
      <c r="I117" s="1">
        <v>0</v>
      </c>
      <c r="J117" s="1">
        <v>0</v>
      </c>
      <c r="K117" s="1">
        <v>0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>
        <v>1</v>
      </c>
      <c r="AA117" s="2">
        <v>1</v>
      </c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1"/>
    </row>
    <row r="118" spans="1:50" x14ac:dyDescent="0.4">
      <c r="A118" s="1" t="str">
        <f t="shared" si="7"/>
        <v>菊池</v>
      </c>
      <c r="B118" s="1" t="str">
        <f>"仁誠会クリニック光の森"</f>
        <v>仁誠会クリニック光の森</v>
      </c>
      <c r="C118" s="1" t="str">
        <f>"869-1108"</f>
        <v>869-1108</v>
      </c>
      <c r="D118" s="1" t="s">
        <v>233</v>
      </c>
      <c r="E118" s="1" t="str">
        <f>"0963607112    "</f>
        <v xml:space="preserve">0963607112    </v>
      </c>
      <c r="F118" s="1" t="str">
        <f>"医療法人　社団　仁誠会"</f>
        <v>医療法人　社団　仁誠会</v>
      </c>
      <c r="G118" s="1" t="str">
        <f>"H21.05.11"</f>
        <v>H21.05.11</v>
      </c>
      <c r="H118" s="1" t="str">
        <f t="shared" si="6"/>
        <v>開設中</v>
      </c>
      <c r="I118" s="1">
        <v>0</v>
      </c>
      <c r="J118" s="1">
        <v>0</v>
      </c>
      <c r="K118" s="1">
        <v>0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1" t="s">
        <v>49</v>
      </c>
    </row>
    <row r="119" spans="1:50" x14ac:dyDescent="0.4">
      <c r="A119" s="1" t="str">
        <f t="shared" si="7"/>
        <v>菊池</v>
      </c>
      <c r="B119" s="1" t="str">
        <f>"いけざわこどもクリニック"</f>
        <v>いけざわこどもクリニック</v>
      </c>
      <c r="C119" s="1" t="str">
        <f>"861-1103"</f>
        <v>861-1103</v>
      </c>
      <c r="D119" s="1" t="s">
        <v>234</v>
      </c>
      <c r="E119" s="1" t="str">
        <f>"0962426633    "</f>
        <v xml:space="preserve">0962426633    </v>
      </c>
      <c r="F119" s="1" t="str">
        <f>"医療法人　いけざわこどもクリニック"</f>
        <v>医療法人　いけざわこどもクリニック</v>
      </c>
      <c r="G119" s="1" t="str">
        <f>"H21.07.15"</f>
        <v>H21.07.15</v>
      </c>
      <c r="H119" s="1" t="str">
        <f t="shared" si="6"/>
        <v>開設中</v>
      </c>
      <c r="I119" s="1">
        <v>0</v>
      </c>
      <c r="J119" s="1">
        <v>0</v>
      </c>
      <c r="K119" s="1">
        <v>0</v>
      </c>
      <c r="L119" s="2"/>
      <c r="M119" s="2"/>
      <c r="N119" s="2"/>
      <c r="O119" s="2"/>
      <c r="P119" s="2"/>
      <c r="Q119" s="2"/>
      <c r="R119" s="2"/>
      <c r="S119" s="2"/>
      <c r="T119" s="2"/>
      <c r="U119" s="2">
        <v>1</v>
      </c>
      <c r="V119" s="2"/>
      <c r="W119" s="2">
        <v>1</v>
      </c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1"/>
    </row>
    <row r="120" spans="1:50" x14ac:dyDescent="0.4">
      <c r="A120" s="1" t="str">
        <f t="shared" si="7"/>
        <v>菊池</v>
      </c>
      <c r="B120" s="1" t="str">
        <f>"あらいクリニック"</f>
        <v>あらいクリニック</v>
      </c>
      <c r="C120" s="1" t="str">
        <f>"869-1216"</f>
        <v>869-1216</v>
      </c>
      <c r="D120" s="1" t="s">
        <v>235</v>
      </c>
      <c r="E120" s="1" t="str">
        <f>"0962932358    "</f>
        <v xml:space="preserve">0962932358    </v>
      </c>
      <c r="F120" s="1" t="str">
        <f>"荒井　光広"</f>
        <v>荒井　光広</v>
      </c>
      <c r="G120" s="1" t="str">
        <f>"H21.01.01"</f>
        <v>H21.01.01</v>
      </c>
      <c r="H120" s="1" t="str">
        <f t="shared" si="6"/>
        <v>開設中</v>
      </c>
      <c r="I120" s="1">
        <v>0</v>
      </c>
      <c r="J120" s="1">
        <v>0</v>
      </c>
      <c r="K120" s="1">
        <v>0</v>
      </c>
      <c r="L120" s="2">
        <v>1</v>
      </c>
      <c r="M120" s="2"/>
      <c r="N120" s="2"/>
      <c r="O120" s="2"/>
      <c r="P120" s="2"/>
      <c r="Q120" s="2">
        <v>1</v>
      </c>
      <c r="R120" s="2">
        <v>1</v>
      </c>
      <c r="S120" s="2"/>
      <c r="T120" s="2"/>
      <c r="U120" s="2"/>
      <c r="V120" s="2"/>
      <c r="W120" s="2"/>
      <c r="X120" s="2">
        <v>1</v>
      </c>
      <c r="Y120" s="2"/>
      <c r="Z120" s="2"/>
      <c r="AA120" s="2"/>
      <c r="AB120" s="2"/>
      <c r="AC120" s="2"/>
      <c r="AD120" s="2"/>
      <c r="AE120" s="2"/>
      <c r="AF120" s="2"/>
      <c r="AG120" s="2">
        <v>1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>
        <v>1</v>
      </c>
      <c r="AR120" s="2"/>
      <c r="AS120" s="2"/>
      <c r="AT120" s="2"/>
      <c r="AU120" s="2"/>
      <c r="AV120" s="2"/>
      <c r="AW120" s="2"/>
      <c r="AX120" s="1"/>
    </row>
    <row r="121" spans="1:50" x14ac:dyDescent="0.4">
      <c r="A121" s="1" t="str">
        <f t="shared" si="7"/>
        <v>菊池</v>
      </c>
      <c r="B121" s="1" t="str">
        <f>"ふくだ医院"</f>
        <v>ふくだ医院</v>
      </c>
      <c r="C121" s="1" t="str">
        <f>"869-1233"</f>
        <v>869-1233</v>
      </c>
      <c r="D121" s="1" t="s">
        <v>236</v>
      </c>
      <c r="E121" s="1" t="str">
        <f>"0962932771    "</f>
        <v xml:space="preserve">0962932771    </v>
      </c>
      <c r="F121" s="1" t="str">
        <f>"医療法人　福田会"</f>
        <v>医療法人　福田会</v>
      </c>
      <c r="G121" s="1" t="str">
        <f>"H21.12.01"</f>
        <v>H21.12.01</v>
      </c>
      <c r="H121" s="1" t="str">
        <f t="shared" si="6"/>
        <v>開設中</v>
      </c>
      <c r="I121" s="1">
        <v>19</v>
      </c>
      <c r="J121" s="1">
        <v>19</v>
      </c>
      <c r="K121" s="1">
        <v>0</v>
      </c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>
        <v>1</v>
      </c>
      <c r="AK121" s="2"/>
      <c r="AL121" s="2"/>
      <c r="AM121" s="2"/>
      <c r="AN121" s="2"/>
      <c r="AO121" s="2">
        <v>1</v>
      </c>
      <c r="AP121" s="2"/>
      <c r="AQ121" s="2"/>
      <c r="AR121" s="2"/>
      <c r="AS121" s="2"/>
      <c r="AT121" s="2"/>
      <c r="AU121" s="2"/>
      <c r="AV121" s="2"/>
      <c r="AW121" s="2"/>
      <c r="AX121" s="1"/>
    </row>
    <row r="122" spans="1:50" x14ac:dyDescent="0.4">
      <c r="A122" s="1" t="str">
        <f t="shared" si="7"/>
        <v>菊池</v>
      </c>
      <c r="B122" s="1" t="str">
        <f>"つくれクリニック"</f>
        <v>つくれクリニック</v>
      </c>
      <c r="C122" s="1" t="str">
        <f>"869-1101"</f>
        <v>869-1101</v>
      </c>
      <c r="D122" s="1" t="s">
        <v>237</v>
      </c>
      <c r="E122" s="1" t="str">
        <f>"0962853335    "</f>
        <v xml:space="preserve">0962853335    </v>
      </c>
      <c r="F122" s="1" t="str">
        <f>"医療法人社団　峯和会"</f>
        <v>医療法人社団　峯和会</v>
      </c>
      <c r="G122" s="1" t="str">
        <f>"H22.01.14"</f>
        <v>H22.01.14</v>
      </c>
      <c r="H122" s="1" t="str">
        <f t="shared" si="6"/>
        <v>開設中</v>
      </c>
      <c r="I122" s="1">
        <v>0</v>
      </c>
      <c r="J122" s="1">
        <v>0</v>
      </c>
      <c r="K122" s="1">
        <v>0</v>
      </c>
      <c r="L122" s="2">
        <v>1</v>
      </c>
      <c r="M122" s="2"/>
      <c r="N122" s="2"/>
      <c r="O122" s="2"/>
      <c r="P122" s="2"/>
      <c r="Q122" s="2">
        <v>1</v>
      </c>
      <c r="R122" s="2">
        <v>1</v>
      </c>
      <c r="S122" s="2"/>
      <c r="T122" s="2">
        <v>1</v>
      </c>
      <c r="U122" s="2"/>
      <c r="V122" s="2"/>
      <c r="W122" s="2">
        <v>1</v>
      </c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>
        <v>1</v>
      </c>
      <c r="AR122" s="2"/>
      <c r="AS122" s="2"/>
      <c r="AT122" s="2"/>
      <c r="AU122" s="2"/>
      <c r="AV122" s="2"/>
      <c r="AW122" s="2"/>
      <c r="AX122" s="1"/>
    </row>
    <row r="123" spans="1:50" x14ac:dyDescent="0.4">
      <c r="A123" s="1" t="str">
        <f t="shared" si="7"/>
        <v>菊池</v>
      </c>
      <c r="B123" s="1" t="str">
        <f>"まつもとこどもクリニック"</f>
        <v>まつもとこどもクリニック</v>
      </c>
      <c r="C123" s="1" t="str">
        <f>"861-1102"</f>
        <v>861-1102</v>
      </c>
      <c r="D123" s="1" t="s">
        <v>238</v>
      </c>
      <c r="E123" s="1" t="str">
        <f>"0963388960    "</f>
        <v xml:space="preserve">0963388960    </v>
      </c>
      <c r="F123" s="1" t="str">
        <f>"医療法人　童心会"</f>
        <v>医療法人　童心会</v>
      </c>
      <c r="G123" s="1" t="str">
        <f>"H21.12.01"</f>
        <v>H21.12.01</v>
      </c>
      <c r="H123" s="1" t="str">
        <f t="shared" si="6"/>
        <v>開設中</v>
      </c>
      <c r="I123" s="1">
        <v>0</v>
      </c>
      <c r="J123" s="1">
        <v>0</v>
      </c>
      <c r="K123" s="1">
        <v>0</v>
      </c>
      <c r="L123" s="2"/>
      <c r="M123" s="2"/>
      <c r="N123" s="2">
        <v>1</v>
      </c>
      <c r="O123" s="2"/>
      <c r="P123" s="2"/>
      <c r="Q123" s="2"/>
      <c r="R123" s="2"/>
      <c r="S123" s="2"/>
      <c r="T123" s="2"/>
      <c r="U123" s="2">
        <v>1</v>
      </c>
      <c r="V123" s="2"/>
      <c r="W123" s="2">
        <v>1</v>
      </c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1"/>
    </row>
    <row r="124" spans="1:50" x14ac:dyDescent="0.4">
      <c r="A124" s="1" t="str">
        <f t="shared" si="7"/>
        <v>菊池</v>
      </c>
      <c r="B124" s="1" t="str">
        <f>"ナカシマセブンクリニック"</f>
        <v>ナカシマセブンクリニック</v>
      </c>
      <c r="C124" s="1" t="str">
        <f>"861-1102"</f>
        <v>861-1102</v>
      </c>
      <c r="D124" s="1" t="s">
        <v>239</v>
      </c>
      <c r="E124" s="1" t="str">
        <f>"0962880777    "</f>
        <v xml:space="preserve">0962880777    </v>
      </c>
      <c r="F124" s="1" t="str">
        <f>"中嶋淳滋"</f>
        <v>中嶋淳滋</v>
      </c>
      <c r="G124" s="1" t="str">
        <f>"H22.10.20"</f>
        <v>H22.10.20</v>
      </c>
      <c r="H124" s="1" t="str">
        <f t="shared" si="6"/>
        <v>開設中</v>
      </c>
      <c r="I124" s="1">
        <v>0</v>
      </c>
      <c r="J124" s="1">
        <v>0</v>
      </c>
      <c r="K124" s="1">
        <v>0</v>
      </c>
      <c r="L124" s="2">
        <v>1</v>
      </c>
      <c r="M124" s="2"/>
      <c r="N124" s="2"/>
      <c r="O124" s="2"/>
      <c r="P124" s="2"/>
      <c r="Q124" s="2">
        <v>1</v>
      </c>
      <c r="R124" s="2">
        <v>1</v>
      </c>
      <c r="S124" s="2"/>
      <c r="T124" s="2"/>
      <c r="U124" s="2">
        <v>1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>
        <v>1</v>
      </c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1"/>
    </row>
    <row r="125" spans="1:50" x14ac:dyDescent="0.4">
      <c r="A125" s="1" t="str">
        <f t="shared" si="7"/>
        <v>菊池</v>
      </c>
      <c r="B125" s="1" t="str">
        <f>"特別養護老人ホーム不二の里診療所"</f>
        <v>特別養護老人ホーム不二の里診療所</v>
      </c>
      <c r="C125" s="1" t="str">
        <f>"861-1201"</f>
        <v>861-1201</v>
      </c>
      <c r="D125" s="1" t="s">
        <v>240</v>
      </c>
      <c r="E125" s="1" t="str">
        <f>"0968381755    "</f>
        <v xml:space="preserve">0968381755    </v>
      </c>
      <c r="F125" s="1" t="str">
        <f>"社会福祉法人東康会"</f>
        <v>社会福祉法人東康会</v>
      </c>
      <c r="G125" s="1" t="str">
        <f>"H23.08.01"</f>
        <v>H23.08.01</v>
      </c>
      <c r="H125" s="1" t="str">
        <f t="shared" si="6"/>
        <v>開設中</v>
      </c>
      <c r="I125" s="1">
        <v>0</v>
      </c>
      <c r="J125" s="1">
        <v>0</v>
      </c>
      <c r="K125" s="1">
        <v>0</v>
      </c>
      <c r="L125" s="2">
        <v>1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1"/>
    </row>
    <row r="126" spans="1:50" x14ac:dyDescent="0.4">
      <c r="A126" s="1" t="str">
        <f t="shared" si="7"/>
        <v>菊池</v>
      </c>
      <c r="B126" s="1" t="str">
        <f>"養護老人ホームこすもす荘診療所"</f>
        <v>養護老人ホームこすもす荘診療所</v>
      </c>
      <c r="C126" s="1" t="str">
        <f>"861-1201"</f>
        <v>861-1201</v>
      </c>
      <c r="D126" s="1" t="s">
        <v>241</v>
      </c>
      <c r="E126" s="1" t="str">
        <f>"0968382902    "</f>
        <v xml:space="preserve">0968382902    </v>
      </c>
      <c r="F126" s="1" t="str">
        <f>"社会福祉法人　菊愛会"</f>
        <v>社会福祉法人　菊愛会</v>
      </c>
      <c r="G126" s="1" t="str">
        <f>"H23.09.01"</f>
        <v>H23.09.01</v>
      </c>
      <c r="H126" s="1" t="str">
        <f t="shared" si="6"/>
        <v>開設中</v>
      </c>
      <c r="I126" s="1">
        <v>0</v>
      </c>
      <c r="J126" s="1">
        <v>0</v>
      </c>
      <c r="K126" s="1">
        <v>0</v>
      </c>
      <c r="L126" s="2">
        <v>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1"/>
    </row>
    <row r="127" spans="1:50" x14ac:dyDescent="0.4">
      <c r="A127" s="1" t="str">
        <f t="shared" si="7"/>
        <v>菊池</v>
      </c>
      <c r="B127" s="1" t="str">
        <f>"養護老人ホーム光進園内診療所"</f>
        <v>養護老人ホーム光進園内診療所</v>
      </c>
      <c r="C127" s="1" t="str">
        <f>"869-1235"</f>
        <v>869-1235</v>
      </c>
      <c r="D127" s="1" t="s">
        <v>242</v>
      </c>
      <c r="E127" s="1" t="str">
        <f>"0962932311    "</f>
        <v xml:space="preserve">0962932311    </v>
      </c>
      <c r="F127" s="1" t="str">
        <f>"社会福祉法人光進会"</f>
        <v>社会福祉法人光進会</v>
      </c>
      <c r="G127" s="1" t="str">
        <f>"H23.12.21"</f>
        <v>H23.12.21</v>
      </c>
      <c r="H127" s="1" t="str">
        <f t="shared" si="6"/>
        <v>開設中</v>
      </c>
      <c r="I127" s="1">
        <v>0</v>
      </c>
      <c r="J127" s="1">
        <v>0</v>
      </c>
      <c r="K127" s="1">
        <v>0</v>
      </c>
      <c r="L127" s="2">
        <v>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1"/>
    </row>
    <row r="128" spans="1:50" x14ac:dyDescent="0.4">
      <c r="A128" s="1" t="str">
        <f t="shared" si="7"/>
        <v>菊池</v>
      </c>
      <c r="B128" s="1" t="str">
        <f>"さくら眼科クリニック"</f>
        <v>さくら眼科クリニック</v>
      </c>
      <c r="C128" s="1" t="str">
        <f>"869-1108"</f>
        <v>869-1108</v>
      </c>
      <c r="D128" s="1" t="s">
        <v>243</v>
      </c>
      <c r="E128" s="1" t="str">
        <f>"0963402325    "</f>
        <v xml:space="preserve">0963402325    </v>
      </c>
      <c r="F128" s="1" t="str">
        <f>"医療法人　拓雄会"</f>
        <v>医療法人　拓雄会</v>
      </c>
      <c r="G128" s="1" t="str">
        <f>"H24.01.06"</f>
        <v>H24.01.06</v>
      </c>
      <c r="H128" s="1" t="str">
        <f t="shared" si="6"/>
        <v>開設中</v>
      </c>
      <c r="I128" s="1">
        <v>0</v>
      </c>
      <c r="J128" s="1">
        <v>0</v>
      </c>
      <c r="K128" s="1">
        <v>0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>
        <v>1</v>
      </c>
      <c r="AO128" s="2"/>
      <c r="AP128" s="2"/>
      <c r="AQ128" s="2"/>
      <c r="AR128" s="2"/>
      <c r="AS128" s="2"/>
      <c r="AT128" s="2"/>
      <c r="AU128" s="2"/>
      <c r="AV128" s="2"/>
      <c r="AW128" s="2"/>
      <c r="AX128" s="1"/>
    </row>
    <row r="129" spans="1:50" x14ac:dyDescent="0.4">
      <c r="A129" s="1" t="str">
        <f t="shared" si="7"/>
        <v>菊池</v>
      </c>
      <c r="B129" s="1" t="str">
        <f>"ちとせ眼科"</f>
        <v>ちとせ眼科</v>
      </c>
      <c r="C129" s="1" t="str">
        <f>"869-1108"</f>
        <v>869-1108</v>
      </c>
      <c r="D129" s="1" t="s">
        <v>244</v>
      </c>
      <c r="E129" s="1" t="str">
        <f>"0962431100    "</f>
        <v xml:space="preserve">0962431100    </v>
      </c>
      <c r="F129" s="1" t="str">
        <f>"医療法人　至誠会"</f>
        <v>医療法人　至誠会</v>
      </c>
      <c r="G129" s="1" t="str">
        <f>"H24.01.01"</f>
        <v>H24.01.01</v>
      </c>
      <c r="H129" s="1" t="str">
        <f t="shared" si="6"/>
        <v>開設中</v>
      </c>
      <c r="I129" s="1">
        <v>0</v>
      </c>
      <c r="J129" s="1">
        <v>0</v>
      </c>
      <c r="K129" s="1">
        <v>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>
        <v>1</v>
      </c>
      <c r="AO129" s="2"/>
      <c r="AP129" s="2"/>
      <c r="AQ129" s="2"/>
      <c r="AR129" s="2"/>
      <c r="AS129" s="2"/>
      <c r="AT129" s="2"/>
      <c r="AU129" s="2"/>
      <c r="AV129" s="2"/>
      <c r="AW129" s="2"/>
      <c r="AX129" s="1"/>
    </row>
    <row r="130" spans="1:50" x14ac:dyDescent="0.4">
      <c r="A130" s="1" t="str">
        <f t="shared" si="7"/>
        <v>菊池</v>
      </c>
      <c r="B130" s="1" t="str">
        <f>"赤星医院"</f>
        <v>赤星医院</v>
      </c>
      <c r="C130" s="1" t="str">
        <f>"861-1331"</f>
        <v>861-1331</v>
      </c>
      <c r="D130" s="1" t="s">
        <v>245</v>
      </c>
      <c r="E130" s="1" t="str">
        <f>"0968252738    "</f>
        <v xml:space="preserve">0968252738    </v>
      </c>
      <c r="F130" s="1" t="str">
        <f>"赤星一信"</f>
        <v>赤星一信</v>
      </c>
      <c r="G130" s="1" t="str">
        <f>"H24.02.01"</f>
        <v>H24.02.01</v>
      </c>
      <c r="H130" s="1" t="str">
        <f t="shared" si="6"/>
        <v>開設中</v>
      </c>
      <c r="I130" s="1">
        <v>0</v>
      </c>
      <c r="J130" s="1">
        <v>0</v>
      </c>
      <c r="K130" s="1">
        <v>0</v>
      </c>
      <c r="L130" s="2">
        <v>1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</v>
      </c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1" t="s">
        <v>53</v>
      </c>
    </row>
    <row r="131" spans="1:50" x14ac:dyDescent="0.4">
      <c r="A131" s="1" t="str">
        <f t="shared" si="7"/>
        <v>菊池</v>
      </c>
      <c r="B131" s="1" t="str">
        <f>"岩上眼科"</f>
        <v>岩上眼科</v>
      </c>
      <c r="C131" s="1" t="str">
        <f>"869-1233"</f>
        <v>869-1233</v>
      </c>
      <c r="D131" s="1" t="s">
        <v>246</v>
      </c>
      <c r="E131" s="1" t="str">
        <f>"0962922053    "</f>
        <v xml:space="preserve">0962922053    </v>
      </c>
      <c r="F131" s="1" t="str">
        <f>"医療法人社団　静澄会"</f>
        <v>医療法人社団　静澄会</v>
      </c>
      <c r="G131" s="1" t="str">
        <f>"H24.05.01"</f>
        <v>H24.05.01</v>
      </c>
      <c r="H131" s="1" t="str">
        <f t="shared" si="6"/>
        <v>開設中</v>
      </c>
      <c r="I131" s="1">
        <v>0</v>
      </c>
      <c r="J131" s="1">
        <v>0</v>
      </c>
      <c r="K131" s="1">
        <v>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>
        <v>1</v>
      </c>
      <c r="AO131" s="2"/>
      <c r="AP131" s="2"/>
      <c r="AQ131" s="2"/>
      <c r="AR131" s="2"/>
      <c r="AS131" s="2"/>
      <c r="AT131" s="2"/>
      <c r="AU131" s="2"/>
      <c r="AV131" s="2"/>
      <c r="AW131" s="2"/>
      <c r="AX131" s="1"/>
    </row>
    <row r="132" spans="1:50" x14ac:dyDescent="0.4">
      <c r="A132" s="1" t="str">
        <f t="shared" si="7"/>
        <v>菊池</v>
      </c>
      <c r="B132" s="1" t="str">
        <f>"大津じんないクリニック"</f>
        <v>大津じんないクリニック</v>
      </c>
      <c r="C132" s="1" t="str">
        <f>"869-1221"</f>
        <v>869-1221</v>
      </c>
      <c r="D132" s="1" t="s">
        <v>247</v>
      </c>
      <c r="E132" s="1" t="str">
        <f>"0962945403    "</f>
        <v xml:space="preserve">0962945403    </v>
      </c>
      <c r="F132" s="1" t="str">
        <f>"医療法人　田中会"</f>
        <v>医療法人　田中会</v>
      </c>
      <c r="G132" s="1" t="str">
        <f>"H24.04.16"</f>
        <v>H24.04.16</v>
      </c>
      <c r="H132" s="1" t="str">
        <f t="shared" si="6"/>
        <v>開設中</v>
      </c>
      <c r="I132" s="1">
        <v>0</v>
      </c>
      <c r="J132" s="1">
        <v>0</v>
      </c>
      <c r="K132" s="1">
        <v>0</v>
      </c>
      <c r="L132" s="2">
        <v>1</v>
      </c>
      <c r="M132" s="2">
        <v>1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1"/>
    </row>
    <row r="133" spans="1:50" x14ac:dyDescent="0.4">
      <c r="A133" s="1" t="str">
        <f t="shared" si="7"/>
        <v>菊池</v>
      </c>
      <c r="B133" s="1" t="str">
        <f>"古荘医院"</f>
        <v>古荘医院</v>
      </c>
      <c r="C133" s="1" t="str">
        <f>"861-1331"</f>
        <v>861-1331</v>
      </c>
      <c r="D133" s="1" t="s">
        <v>248</v>
      </c>
      <c r="E133" s="1" t="str">
        <f>"0968252046    "</f>
        <v xml:space="preserve">0968252046    </v>
      </c>
      <c r="F133" s="1" t="str">
        <f>"渡邊　孝寛"</f>
        <v>渡邊　孝寛</v>
      </c>
      <c r="G133" s="1" t="str">
        <f>"H25.04.01"</f>
        <v>H25.04.01</v>
      </c>
      <c r="H133" s="1" t="str">
        <f t="shared" si="6"/>
        <v>開設中</v>
      </c>
      <c r="I133" s="1">
        <v>0</v>
      </c>
      <c r="J133" s="1">
        <v>0</v>
      </c>
      <c r="K133" s="1">
        <v>0</v>
      </c>
      <c r="L133" s="2">
        <v>1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>
        <v>1</v>
      </c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1"/>
    </row>
    <row r="134" spans="1:50" x14ac:dyDescent="0.4">
      <c r="A134" s="1" t="str">
        <f t="shared" si="7"/>
        <v>菊池</v>
      </c>
      <c r="B134" s="1" t="str">
        <f>"かたやま内科・漢方クリニック"</f>
        <v>かたやま内科・漢方クリニック</v>
      </c>
      <c r="C134" s="1" t="str">
        <f>"861-1104"</f>
        <v>861-1104</v>
      </c>
      <c r="D134" s="1" t="s">
        <v>249</v>
      </c>
      <c r="E134" s="1" t="str">
        <f>"0962736960    "</f>
        <v xml:space="preserve">0962736960    </v>
      </c>
      <c r="F134" s="1" t="str">
        <f>"片山　功夫"</f>
        <v>片山　功夫</v>
      </c>
      <c r="G134" s="1" t="str">
        <f>"H25.04.15"</f>
        <v>H25.04.15</v>
      </c>
      <c r="H134" s="1" t="str">
        <f t="shared" si="6"/>
        <v>開設中</v>
      </c>
      <c r="I134" s="1">
        <v>0</v>
      </c>
      <c r="J134" s="1">
        <v>0</v>
      </c>
      <c r="K134" s="1">
        <v>0</v>
      </c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1" t="s">
        <v>54</v>
      </c>
    </row>
    <row r="135" spans="1:50" x14ac:dyDescent="0.4">
      <c r="A135" s="1" t="str">
        <f t="shared" si="7"/>
        <v>菊池</v>
      </c>
      <c r="B135" s="1" t="str">
        <f>"光の森メンタルクリニック"</f>
        <v>光の森メンタルクリニック</v>
      </c>
      <c r="C135" s="1" t="str">
        <f>"869-1108"</f>
        <v>869-1108</v>
      </c>
      <c r="D135" s="1" t="s">
        <v>250</v>
      </c>
      <c r="E135" s="1" t="str">
        <f>"0962328102    "</f>
        <v xml:space="preserve">0962328102    </v>
      </c>
      <c r="F135" s="1" t="str">
        <f>"医療法人　梟会"</f>
        <v>医療法人　梟会</v>
      </c>
      <c r="G135" s="1" t="str">
        <f>"H25.05.01"</f>
        <v>H25.05.01</v>
      </c>
      <c r="H135" s="1" t="str">
        <f t="shared" si="6"/>
        <v>開設中</v>
      </c>
      <c r="I135" s="1">
        <v>0</v>
      </c>
      <c r="J135" s="1">
        <v>0</v>
      </c>
      <c r="K135" s="1">
        <v>0</v>
      </c>
      <c r="L135" s="2"/>
      <c r="M135" s="2">
        <v>1</v>
      </c>
      <c r="N135" s="2">
        <v>1</v>
      </c>
      <c r="O135" s="2">
        <v>1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1"/>
    </row>
    <row r="136" spans="1:50" x14ac:dyDescent="0.4">
      <c r="A136" s="1" t="str">
        <f t="shared" si="7"/>
        <v>菊池</v>
      </c>
      <c r="B136" s="1" t="str">
        <f>"ヒューマン・ケア　こうしの杜診療所"</f>
        <v>ヒューマン・ケア　こうしの杜診療所</v>
      </c>
      <c r="C136" s="1" t="str">
        <f>"861-1115"</f>
        <v>861-1115</v>
      </c>
      <c r="D136" s="1" t="s">
        <v>251</v>
      </c>
      <c r="E136" s="1" t="str">
        <f>"0962736767    "</f>
        <v xml:space="preserve">0962736767    </v>
      </c>
      <c r="F136" s="1" t="str">
        <f>"社会福祉法人　慈敬会"</f>
        <v>社会福祉法人　慈敬会</v>
      </c>
      <c r="G136" s="1" t="str">
        <f>"H25.10.01"</f>
        <v>H25.10.01</v>
      </c>
      <c r="H136" s="1" t="str">
        <f t="shared" si="6"/>
        <v>開設中</v>
      </c>
      <c r="I136" s="1">
        <v>0</v>
      </c>
      <c r="J136" s="1">
        <v>0</v>
      </c>
      <c r="K136" s="1">
        <v>0</v>
      </c>
      <c r="L136" s="2">
        <v>1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1"/>
    </row>
    <row r="137" spans="1:50" x14ac:dyDescent="0.4">
      <c r="A137" s="1" t="str">
        <f t="shared" si="7"/>
        <v>菊池</v>
      </c>
      <c r="B137" s="1" t="str">
        <f>"ちとせ循環器内科"</f>
        <v>ちとせ循環器内科</v>
      </c>
      <c r="C137" s="1" t="str">
        <f>"861-1112"</f>
        <v>861-1112</v>
      </c>
      <c r="D137" s="1" t="s">
        <v>252</v>
      </c>
      <c r="E137" s="1" t="str">
        <f>"0962737227    "</f>
        <v xml:space="preserve">0962737227    </v>
      </c>
      <c r="F137" s="1" t="str">
        <f>"医療法人　仁志会"</f>
        <v>医療法人　仁志会</v>
      </c>
      <c r="G137" s="1" t="str">
        <f>"H25.11.01"</f>
        <v>H25.11.01</v>
      </c>
      <c r="H137" s="1" t="str">
        <f t="shared" si="6"/>
        <v>開設中</v>
      </c>
      <c r="I137" s="1">
        <v>0</v>
      </c>
      <c r="J137" s="1">
        <v>0</v>
      </c>
      <c r="K137" s="1">
        <v>0</v>
      </c>
      <c r="L137" s="2">
        <v>1</v>
      </c>
      <c r="M137" s="2"/>
      <c r="N137" s="2"/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>
        <v>1</v>
      </c>
      <c r="AR137" s="2"/>
      <c r="AS137" s="2"/>
      <c r="AT137" s="2"/>
      <c r="AU137" s="2"/>
      <c r="AV137" s="2"/>
      <c r="AW137" s="2"/>
      <c r="AX137" s="1"/>
    </row>
    <row r="138" spans="1:50" x14ac:dyDescent="0.4">
      <c r="A138" s="1" t="str">
        <f t="shared" si="7"/>
        <v>菊池</v>
      </c>
      <c r="B138" s="1" t="str">
        <f>"まつもと耳鼻咽喉科医院"</f>
        <v>まつもと耳鼻咽喉科医院</v>
      </c>
      <c r="C138" s="1" t="str">
        <f>"861-1308"</f>
        <v>861-1308</v>
      </c>
      <c r="D138" s="1" t="s">
        <v>253</v>
      </c>
      <c r="E138" s="1" t="str">
        <f>"0968236111    "</f>
        <v xml:space="preserve">0968236111    </v>
      </c>
      <c r="F138" s="1" t="str">
        <f>"医療法人社団　嘉資会"</f>
        <v>医療法人社団　嘉資会</v>
      </c>
      <c r="G138" s="1" t="str">
        <f>"H26.01.01"</f>
        <v>H26.01.01</v>
      </c>
      <c r="H138" s="1" t="str">
        <f t="shared" si="6"/>
        <v>開設中</v>
      </c>
      <c r="I138" s="1">
        <v>0</v>
      </c>
      <c r="J138" s="1">
        <v>0</v>
      </c>
      <c r="K138" s="1">
        <v>0</v>
      </c>
      <c r="L138" s="2"/>
      <c r="M138" s="2"/>
      <c r="N138" s="2"/>
      <c r="O138" s="2"/>
      <c r="P138" s="2"/>
      <c r="Q138" s="2"/>
      <c r="R138" s="2"/>
      <c r="S138" s="2"/>
      <c r="T138" s="2"/>
      <c r="U138" s="2">
        <v>1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>
        <v>1</v>
      </c>
      <c r="AP138" s="2"/>
      <c r="AQ138" s="2"/>
      <c r="AR138" s="2"/>
      <c r="AS138" s="2"/>
      <c r="AT138" s="2"/>
      <c r="AU138" s="2"/>
      <c r="AV138" s="2"/>
      <c r="AW138" s="2"/>
      <c r="AX138" s="1"/>
    </row>
    <row r="139" spans="1:50" x14ac:dyDescent="0.4">
      <c r="A139" s="1" t="str">
        <f t="shared" ref="A139:A170" si="8">"菊池"</f>
        <v>菊池</v>
      </c>
      <c r="B139" s="1" t="str">
        <f>"特別養護老人ホーム　大地の里　えがお内医務室"</f>
        <v>特別養護老人ホーム　大地の里　えがお内医務室</v>
      </c>
      <c r="C139" s="1" t="str">
        <f>"861-1102"</f>
        <v>861-1102</v>
      </c>
      <c r="D139" s="1" t="s">
        <v>254</v>
      </c>
      <c r="E139" s="1" t="str">
        <f>"0962420111    "</f>
        <v xml:space="preserve">0962420111    </v>
      </c>
      <c r="F139" s="1" t="str">
        <f>"社会福祉法人　大地"</f>
        <v>社会福祉法人　大地</v>
      </c>
      <c r="G139" s="1" t="str">
        <f>"H26.03.25"</f>
        <v>H26.03.25</v>
      </c>
      <c r="H139" s="1" t="str">
        <f t="shared" si="6"/>
        <v>開設中</v>
      </c>
      <c r="I139" s="1">
        <v>0</v>
      </c>
      <c r="J139" s="1">
        <v>0</v>
      </c>
      <c r="K139" s="1">
        <v>0</v>
      </c>
      <c r="L139" s="2">
        <v>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1"/>
    </row>
    <row r="140" spans="1:50" x14ac:dyDescent="0.4">
      <c r="A140" s="1" t="str">
        <f t="shared" si="8"/>
        <v>菊池</v>
      </c>
      <c r="B140" s="1" t="str">
        <f>"平山内科クリニック"</f>
        <v>平山内科クリニック</v>
      </c>
      <c r="C140" s="1" t="str">
        <f>"861-1104"</f>
        <v>861-1104</v>
      </c>
      <c r="D140" s="1" t="s">
        <v>255</v>
      </c>
      <c r="E140" s="1" t="str">
        <f>"0962736104    "</f>
        <v xml:space="preserve">0962736104    </v>
      </c>
      <c r="F140" s="1" t="str">
        <f>"平山　正剛"</f>
        <v>平山　正剛</v>
      </c>
      <c r="G140" s="1" t="str">
        <f>"H25.12.12"</f>
        <v>H25.12.12</v>
      </c>
      <c r="H140" s="1" t="str">
        <f t="shared" si="6"/>
        <v>開設中</v>
      </c>
      <c r="I140" s="1">
        <v>0</v>
      </c>
      <c r="J140" s="1">
        <v>0</v>
      </c>
      <c r="K140" s="1">
        <v>0</v>
      </c>
      <c r="L140" s="2">
        <v>1</v>
      </c>
      <c r="M140" s="2"/>
      <c r="N140" s="2"/>
      <c r="O140" s="2"/>
      <c r="P140" s="2"/>
      <c r="Q140" s="2"/>
      <c r="R140" s="2"/>
      <c r="S140" s="2"/>
      <c r="T140" s="2"/>
      <c r="U140" s="2">
        <v>1</v>
      </c>
      <c r="V140" s="2"/>
      <c r="W140" s="2">
        <v>1</v>
      </c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1" t="s">
        <v>55</v>
      </c>
    </row>
    <row r="141" spans="1:50" x14ac:dyDescent="0.4">
      <c r="A141" s="1" t="str">
        <f t="shared" si="8"/>
        <v>菊池</v>
      </c>
      <c r="B141" s="1" t="str">
        <f>"なかふさ心療内科・光の森"</f>
        <v>なかふさ心療内科・光の森</v>
      </c>
      <c r="C141" s="1" t="str">
        <f>"869-1108"</f>
        <v>869-1108</v>
      </c>
      <c r="D141" s="1" t="s">
        <v>256</v>
      </c>
      <c r="E141" s="1" t="str">
        <f>"0962886802    "</f>
        <v xml:space="preserve">0962886802    </v>
      </c>
      <c r="F141" s="1" t="str">
        <f>"中房　憲司"</f>
        <v>中房　憲司</v>
      </c>
      <c r="G141" s="1" t="str">
        <f>"H26.10.17"</f>
        <v>H26.10.17</v>
      </c>
      <c r="H141" s="1" t="str">
        <f t="shared" si="6"/>
        <v>開設中</v>
      </c>
      <c r="I141" s="1">
        <v>0</v>
      </c>
      <c r="J141" s="1">
        <v>0</v>
      </c>
      <c r="K141" s="1">
        <v>0</v>
      </c>
      <c r="L141" s="2"/>
      <c r="M141" s="2">
        <v>1</v>
      </c>
      <c r="N141" s="2">
        <v>1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1"/>
    </row>
    <row r="142" spans="1:50" x14ac:dyDescent="0.4">
      <c r="A142" s="1" t="str">
        <f t="shared" si="8"/>
        <v>菊池</v>
      </c>
      <c r="B142" s="1" t="str">
        <f>"光進会クリニック"</f>
        <v>光進会クリニック</v>
      </c>
      <c r="C142" s="1" t="str">
        <f>"869-1235"</f>
        <v>869-1235</v>
      </c>
      <c r="D142" s="1" t="s">
        <v>257</v>
      </c>
      <c r="E142" s="1" t="str">
        <f>"0962948888    "</f>
        <v xml:space="preserve">0962948888    </v>
      </c>
      <c r="F142" s="1" t="str">
        <f>"医療法人社団　光進会"</f>
        <v>医療法人社団　光進会</v>
      </c>
      <c r="G142" s="1" t="str">
        <f>"H27.04.16"</f>
        <v>H27.04.16</v>
      </c>
      <c r="H142" s="1" t="str">
        <f t="shared" si="6"/>
        <v>開設中</v>
      </c>
      <c r="I142" s="1">
        <v>0</v>
      </c>
      <c r="J142" s="1">
        <v>0</v>
      </c>
      <c r="K142" s="1">
        <v>0</v>
      </c>
      <c r="L142" s="2">
        <v>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1" t="s">
        <v>56</v>
      </c>
    </row>
    <row r="143" spans="1:50" x14ac:dyDescent="0.4">
      <c r="A143" s="1" t="str">
        <f t="shared" si="8"/>
        <v>菊池</v>
      </c>
      <c r="B143" s="1" t="str">
        <f>"のざわ医院"</f>
        <v>のざわ医院</v>
      </c>
      <c r="C143" s="1" t="str">
        <f>"869-1234"</f>
        <v>869-1234</v>
      </c>
      <c r="D143" s="1" t="s">
        <v>258</v>
      </c>
      <c r="E143" s="1" t="str">
        <f>"0962938000    "</f>
        <v xml:space="preserve">0962938000    </v>
      </c>
      <c r="F143" s="1" t="str">
        <f>"野澤　文昭"</f>
        <v>野澤　文昭</v>
      </c>
      <c r="G143" s="1" t="str">
        <f>"H27.08.01"</f>
        <v>H27.08.01</v>
      </c>
      <c r="H143" s="1" t="str">
        <f t="shared" si="6"/>
        <v>開設中</v>
      </c>
      <c r="I143" s="1">
        <v>0</v>
      </c>
      <c r="J143" s="1">
        <v>0</v>
      </c>
      <c r="K143" s="1">
        <v>0</v>
      </c>
      <c r="L143" s="2">
        <v>1</v>
      </c>
      <c r="M143" s="2"/>
      <c r="N143" s="2"/>
      <c r="O143" s="2"/>
      <c r="P143" s="2"/>
      <c r="Q143" s="2"/>
      <c r="R143" s="2">
        <v>1</v>
      </c>
      <c r="S143" s="2">
        <v>1</v>
      </c>
      <c r="T143" s="2"/>
      <c r="U143" s="2"/>
      <c r="V143" s="2"/>
      <c r="W143" s="2"/>
      <c r="X143" s="2">
        <v>1</v>
      </c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1"/>
    </row>
    <row r="144" spans="1:50" x14ac:dyDescent="0.4">
      <c r="A144" s="1" t="str">
        <f t="shared" si="8"/>
        <v>菊池</v>
      </c>
      <c r="B144" s="1" t="str">
        <f>"三隅内科医院"</f>
        <v>三隅内科医院</v>
      </c>
      <c r="C144" s="1" t="str">
        <f>"861-1115"</f>
        <v>861-1115</v>
      </c>
      <c r="D144" s="1" t="s">
        <v>259</v>
      </c>
      <c r="E144" s="1" t="str">
        <f>"0962486161    "</f>
        <v xml:space="preserve">0962486161    </v>
      </c>
      <c r="F144" s="1" t="str">
        <f>"三隅修平"</f>
        <v>三隅修平</v>
      </c>
      <c r="G144" s="1" t="str">
        <f>"H28.03.01"</f>
        <v>H28.03.01</v>
      </c>
      <c r="H144" s="1" t="str">
        <f t="shared" si="6"/>
        <v>開設中</v>
      </c>
      <c r="I144" s="1">
        <v>0</v>
      </c>
      <c r="J144" s="1">
        <v>0</v>
      </c>
      <c r="K144" s="1">
        <v>0</v>
      </c>
      <c r="L144" s="2">
        <v>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1" t="s">
        <v>57</v>
      </c>
    </row>
    <row r="145" spans="1:50" x14ac:dyDescent="0.4">
      <c r="A145" s="1" t="str">
        <f t="shared" si="8"/>
        <v>菊池</v>
      </c>
      <c r="B145" s="1" t="str">
        <f>"特別養護老人ホーム喜寿園　医務室"</f>
        <v>特別養護老人ホーム喜寿園　医務室</v>
      </c>
      <c r="C145" s="1" t="str">
        <f>"869-1235"</f>
        <v>869-1235</v>
      </c>
      <c r="D145" s="1" t="s">
        <v>260</v>
      </c>
      <c r="E145" s="1" t="str">
        <f>"0962946555    "</f>
        <v xml:space="preserve">0962946555    </v>
      </c>
      <c r="F145" s="1" t="str">
        <f>"社会福祉法人光進会"</f>
        <v>社会福祉法人光進会</v>
      </c>
      <c r="G145" s="1" t="str">
        <f>"H28.06.01"</f>
        <v>H28.06.01</v>
      </c>
      <c r="H145" s="1" t="str">
        <f t="shared" si="6"/>
        <v>開設中</v>
      </c>
      <c r="I145" s="1">
        <v>0</v>
      </c>
      <c r="J145" s="1">
        <v>0</v>
      </c>
      <c r="K145" s="1">
        <v>0</v>
      </c>
      <c r="L145" s="2">
        <v>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1"/>
    </row>
    <row r="146" spans="1:50" x14ac:dyDescent="0.4">
      <c r="A146" s="1" t="str">
        <f t="shared" si="8"/>
        <v>菊池</v>
      </c>
      <c r="B146" s="1" t="str">
        <f>"特別養護老人ホーム　ヒューマン・ケア　たかばの杜"</f>
        <v>特別養護老人ホーム　ヒューマン・ケア　たかばの杜</v>
      </c>
      <c r="C146" s="1" t="str">
        <f>"861-1112"</f>
        <v>861-1112</v>
      </c>
      <c r="D146" s="1" t="s">
        <v>261</v>
      </c>
      <c r="E146" s="1" t="str">
        <f>"0962736767    "</f>
        <v xml:space="preserve">0962736767    </v>
      </c>
      <c r="F146" s="1" t="str">
        <f>"社会福祉法人　慈敬会"</f>
        <v>社会福祉法人　慈敬会</v>
      </c>
      <c r="G146" s="1" t="str">
        <f>"H28.12.15"</f>
        <v>H28.12.15</v>
      </c>
      <c r="H146" s="1" t="str">
        <f t="shared" si="6"/>
        <v>開設中</v>
      </c>
      <c r="I146" s="1">
        <v>0</v>
      </c>
      <c r="J146" s="1">
        <v>0</v>
      </c>
      <c r="K146" s="1">
        <v>0</v>
      </c>
      <c r="L146" s="2">
        <v>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1"/>
    </row>
    <row r="147" spans="1:50" x14ac:dyDescent="0.4">
      <c r="A147" s="1" t="str">
        <f t="shared" si="8"/>
        <v>菊池</v>
      </c>
      <c r="B147" s="1" t="str">
        <f>"特別養護老人ホーム　ケアタウン光の森"</f>
        <v>特別養護老人ホーム　ケアタウン光の森</v>
      </c>
      <c r="C147" s="1" t="str">
        <f>"869-1101"</f>
        <v>869-1101</v>
      </c>
      <c r="D147" s="1" t="s">
        <v>262</v>
      </c>
      <c r="E147" s="1" t="str">
        <f>"0962738686    "</f>
        <v xml:space="preserve">0962738686    </v>
      </c>
      <c r="F147" s="1" t="str">
        <f>"社会福祉法人ゆうき会"</f>
        <v>社会福祉法人ゆうき会</v>
      </c>
      <c r="G147" s="1" t="str">
        <f>"H28.12.01"</f>
        <v>H28.12.01</v>
      </c>
      <c r="H147" s="1" t="str">
        <f t="shared" si="6"/>
        <v>開設中</v>
      </c>
      <c r="I147" s="1">
        <v>0</v>
      </c>
      <c r="J147" s="1">
        <v>0</v>
      </c>
      <c r="K147" s="1">
        <v>0</v>
      </c>
      <c r="L147" s="2">
        <v>1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1"/>
    </row>
    <row r="148" spans="1:50" x14ac:dyDescent="0.4">
      <c r="A148" s="1" t="str">
        <f t="shared" si="8"/>
        <v>菊池</v>
      </c>
      <c r="B148" s="1" t="str">
        <f>"Ｌｅｅこどもクリニック"</f>
        <v>Ｌｅｅこどもクリニック</v>
      </c>
      <c r="C148" s="1" t="str">
        <f>"861-1115"</f>
        <v>861-1115</v>
      </c>
      <c r="D148" s="1" t="s">
        <v>263</v>
      </c>
      <c r="E148" s="1" t="str">
        <f>"0962155980    "</f>
        <v xml:space="preserve">0962155980    </v>
      </c>
      <c r="F148" s="1" t="str">
        <f>"医療法人Ｌｅｅこどもクリニック"</f>
        <v>医療法人Ｌｅｅこどもクリニック</v>
      </c>
      <c r="G148" s="1" t="str">
        <f>"H29.06.30"</f>
        <v>H29.06.30</v>
      </c>
      <c r="H148" s="1" t="str">
        <f t="shared" si="6"/>
        <v>開設中</v>
      </c>
      <c r="I148" s="1">
        <v>0</v>
      </c>
      <c r="J148" s="1">
        <v>0</v>
      </c>
      <c r="K148" s="1">
        <v>0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>
        <v>1</v>
      </c>
      <c r="X148" s="2"/>
      <c r="Y148" s="2"/>
      <c r="Z148" s="2"/>
      <c r="AA148" s="2"/>
      <c r="AB148" s="2"/>
      <c r="AC148" s="2"/>
      <c r="AD148" s="2"/>
      <c r="AE148" s="2">
        <v>1</v>
      </c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1"/>
    </row>
    <row r="149" spans="1:50" x14ac:dyDescent="0.4">
      <c r="A149" s="1" t="str">
        <f t="shared" si="8"/>
        <v>菊池</v>
      </c>
      <c r="B149" s="1" t="str">
        <f>"くぬぎ荘医務室"</f>
        <v>くぬぎ荘医務室</v>
      </c>
      <c r="C149" s="1" t="str">
        <f>"861-1103"</f>
        <v>861-1103</v>
      </c>
      <c r="D149" s="1" t="s">
        <v>264</v>
      </c>
      <c r="E149" s="1" t="str">
        <f>"0962429100    "</f>
        <v xml:space="preserve">0962429100    </v>
      </c>
      <c r="F149" s="1" t="str">
        <f>"社会福祉法人泰斗"</f>
        <v>社会福祉法人泰斗</v>
      </c>
      <c r="G149" s="1" t="str">
        <f>"H29.10.01"</f>
        <v>H29.10.01</v>
      </c>
      <c r="H149" s="1" t="str">
        <f t="shared" si="6"/>
        <v>開設中</v>
      </c>
      <c r="I149" s="1">
        <v>0</v>
      </c>
      <c r="J149" s="1">
        <v>0</v>
      </c>
      <c r="K149" s="1">
        <v>0</v>
      </c>
      <c r="L149" s="2">
        <v>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1"/>
    </row>
    <row r="150" spans="1:50" x14ac:dyDescent="0.4">
      <c r="A150" s="1" t="str">
        <f t="shared" si="8"/>
        <v>菊池</v>
      </c>
      <c r="B150" s="1" t="str">
        <f>"わいふ桜座診療所"</f>
        <v>わいふ桜座診療所</v>
      </c>
      <c r="C150" s="1" t="str">
        <f>"861-1331"</f>
        <v>861-1331</v>
      </c>
      <c r="D150" s="1" t="s">
        <v>265</v>
      </c>
      <c r="E150" s="1" t="str">
        <f>"0968262525    "</f>
        <v xml:space="preserve">0968262525    </v>
      </c>
      <c r="F150" s="1" t="str">
        <f>"社会福祉法人　不動会"</f>
        <v>社会福祉法人　不動会</v>
      </c>
      <c r="G150" s="1" t="str">
        <f>"H30.05.15"</f>
        <v>H30.05.15</v>
      </c>
      <c r="H150" s="1" t="str">
        <f t="shared" si="6"/>
        <v>開設中</v>
      </c>
      <c r="I150" s="1">
        <v>0</v>
      </c>
      <c r="J150" s="1">
        <v>0</v>
      </c>
      <c r="K150" s="1">
        <v>0</v>
      </c>
      <c r="L150" s="2">
        <v>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1"/>
    </row>
    <row r="151" spans="1:50" x14ac:dyDescent="0.4">
      <c r="A151" s="1" t="str">
        <f t="shared" si="8"/>
        <v>菊池</v>
      </c>
      <c r="B151" s="1" t="str">
        <f>"ＫＭバイオロジクス株式会社 菊池研究所 健康管理室"</f>
        <v>ＫＭバイオロジクス株式会社 菊池研究所 健康管理室</v>
      </c>
      <c r="C151" s="1" t="str">
        <f>"869-1205"</f>
        <v>869-1205</v>
      </c>
      <c r="D151" s="1" t="s">
        <v>266</v>
      </c>
      <c r="E151" s="1" t="str">
        <f>"0968373100    "</f>
        <v xml:space="preserve">0968373100    </v>
      </c>
      <c r="F151" s="1" t="str">
        <f>"ＫＭバイオロジクス株式会社"</f>
        <v>ＫＭバイオロジクス株式会社</v>
      </c>
      <c r="G151" s="1" t="str">
        <f>"H30.07.02"</f>
        <v>H30.07.02</v>
      </c>
      <c r="H151" s="1" t="str">
        <f t="shared" si="6"/>
        <v>開設中</v>
      </c>
      <c r="I151" s="1">
        <v>0</v>
      </c>
      <c r="J151" s="1">
        <v>0</v>
      </c>
      <c r="K151" s="1">
        <v>0</v>
      </c>
      <c r="L151" s="2">
        <v>1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1"/>
    </row>
    <row r="152" spans="1:50" x14ac:dyDescent="0.4">
      <c r="A152" s="1" t="str">
        <f t="shared" si="8"/>
        <v>菊池</v>
      </c>
      <c r="B152" s="1" t="str">
        <f>"合志渡邉内科クリニック"</f>
        <v>合志渡邉内科クリニック</v>
      </c>
      <c r="C152" s="1" t="str">
        <f>"861-1114"</f>
        <v>861-1114</v>
      </c>
      <c r="D152" s="1" t="s">
        <v>267</v>
      </c>
      <c r="E152" s="1" t="str">
        <f>"0962859720    "</f>
        <v xml:space="preserve">0962859720    </v>
      </c>
      <c r="F152" s="1" t="str">
        <f>"医療法人社団清流会"</f>
        <v>医療法人社団清流会</v>
      </c>
      <c r="G152" s="1" t="str">
        <f>"H31.01.04"</f>
        <v>H31.01.04</v>
      </c>
      <c r="H152" s="1" t="str">
        <f t="shared" si="6"/>
        <v>開設中</v>
      </c>
      <c r="I152" s="1">
        <v>0</v>
      </c>
      <c r="J152" s="1">
        <v>0</v>
      </c>
      <c r="K152" s="1">
        <v>0</v>
      </c>
      <c r="L152" s="2">
        <v>1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1" t="s">
        <v>58</v>
      </c>
    </row>
    <row r="153" spans="1:50" x14ac:dyDescent="0.4">
      <c r="A153" s="1" t="str">
        <f t="shared" si="8"/>
        <v>菊池</v>
      </c>
      <c r="B153" s="1" t="str">
        <f>"入佐内科医院"</f>
        <v>入佐内科医院</v>
      </c>
      <c r="C153" s="1" t="str">
        <f>"861-1201"</f>
        <v>861-1201</v>
      </c>
      <c r="D153" s="1" t="s">
        <v>268</v>
      </c>
      <c r="E153" s="1" t="str">
        <f>"0968383824    "</f>
        <v xml:space="preserve">0968383824    </v>
      </c>
      <c r="F153" s="1" t="str">
        <f>"入佐　孝三"</f>
        <v>入佐　孝三</v>
      </c>
      <c r="G153" s="1" t="str">
        <f>"R01.05.07"</f>
        <v>R01.05.07</v>
      </c>
      <c r="H153" s="1" t="str">
        <f t="shared" si="6"/>
        <v>開設中</v>
      </c>
      <c r="I153" s="1">
        <v>0</v>
      </c>
      <c r="J153" s="1">
        <v>0</v>
      </c>
      <c r="K153" s="1">
        <v>0</v>
      </c>
      <c r="L153" s="2">
        <v>1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1"/>
    </row>
    <row r="154" spans="1:50" x14ac:dyDescent="0.4">
      <c r="A154" s="1" t="str">
        <f t="shared" si="8"/>
        <v>菊池</v>
      </c>
      <c r="B154" s="1" t="str">
        <f>"はなぶさクリニック"</f>
        <v>はなぶさクリニック</v>
      </c>
      <c r="C154" s="1" t="str">
        <f>"869-1234"</f>
        <v>869-1234</v>
      </c>
      <c r="D154" s="1" t="s">
        <v>269</v>
      </c>
      <c r="E154" s="1" t="str">
        <f>"0962828555    "</f>
        <v xml:space="preserve">0962828555    </v>
      </c>
      <c r="F154" s="1" t="str">
        <f>"髙尾　英介"</f>
        <v>髙尾　英介</v>
      </c>
      <c r="G154" s="1" t="str">
        <f>"R01.09.11"</f>
        <v>R01.09.11</v>
      </c>
      <c r="H154" s="1" t="str">
        <f t="shared" si="6"/>
        <v>開設中</v>
      </c>
      <c r="I154" s="1">
        <v>0</v>
      </c>
      <c r="J154" s="1">
        <v>0</v>
      </c>
      <c r="K154" s="1">
        <v>0</v>
      </c>
      <c r="L154" s="2">
        <v>1</v>
      </c>
      <c r="M154" s="2"/>
      <c r="N154" s="2"/>
      <c r="O154" s="2"/>
      <c r="P154" s="2"/>
      <c r="Q154" s="2"/>
      <c r="R154" s="2"/>
      <c r="S154" s="2"/>
      <c r="T154" s="2"/>
      <c r="U154" s="2">
        <v>1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1" t="s">
        <v>59</v>
      </c>
    </row>
    <row r="155" spans="1:50" x14ac:dyDescent="0.4">
      <c r="A155" s="1" t="str">
        <f t="shared" si="8"/>
        <v>菊池</v>
      </c>
      <c r="B155" s="1" t="str">
        <f>"社会福祉法人東康会特別養護老人ホームつまごめ荘診療所"</f>
        <v>社会福祉法人東康会特別養護老人ホームつまごめ荘診療所</v>
      </c>
      <c r="C155" s="1" t="str">
        <f>"861-1303"</f>
        <v>861-1303</v>
      </c>
      <c r="D155" s="1" t="s">
        <v>270</v>
      </c>
      <c r="E155" s="1" t="str">
        <f>"0968251600    "</f>
        <v xml:space="preserve">0968251600    </v>
      </c>
      <c r="F155" s="1" t="str">
        <f>"社会福祉法人　東康会"</f>
        <v>社会福祉法人　東康会</v>
      </c>
      <c r="G155" s="1" t="str">
        <f>"R02.04.01"</f>
        <v>R02.04.01</v>
      </c>
      <c r="H155" s="1" t="str">
        <f t="shared" si="6"/>
        <v>開設中</v>
      </c>
      <c r="I155" s="1">
        <v>0</v>
      </c>
      <c r="J155" s="1">
        <v>0</v>
      </c>
      <c r="K155" s="1">
        <v>0</v>
      </c>
      <c r="L155" s="2">
        <v>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1"/>
    </row>
    <row r="156" spans="1:50" x14ac:dyDescent="0.4">
      <c r="A156" s="1" t="str">
        <f t="shared" si="8"/>
        <v>菊池</v>
      </c>
      <c r="B156" s="1" t="str">
        <f>"たがみクリニック"</f>
        <v>たがみクリニック</v>
      </c>
      <c r="C156" s="1" t="str">
        <f>"861-1323"</f>
        <v>861-1323</v>
      </c>
      <c r="D156" s="1" t="s">
        <v>271</v>
      </c>
      <c r="E156" s="1" t="str">
        <f>"0968245353    "</f>
        <v xml:space="preserve">0968245353    </v>
      </c>
      <c r="F156" s="1" t="str">
        <f>"医療法人　弘代会"</f>
        <v>医療法人　弘代会</v>
      </c>
      <c r="G156" s="1" t="str">
        <f>"R02.11.01"</f>
        <v>R02.11.01</v>
      </c>
      <c r="H156" s="1" t="str">
        <f t="shared" si="6"/>
        <v>開設中</v>
      </c>
      <c r="I156" s="1">
        <v>0</v>
      </c>
      <c r="J156" s="1">
        <v>0</v>
      </c>
      <c r="K156" s="1">
        <v>0</v>
      </c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>
        <v>1</v>
      </c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1" t="s">
        <v>60</v>
      </c>
    </row>
    <row r="157" spans="1:50" x14ac:dyDescent="0.4">
      <c r="A157" s="1" t="str">
        <f t="shared" si="8"/>
        <v>菊池</v>
      </c>
      <c r="B157" s="1" t="str">
        <f>"大津なかしま眼科"</f>
        <v>大津なかしま眼科</v>
      </c>
      <c r="C157" s="1" t="str">
        <f>"869-1234"</f>
        <v>869-1234</v>
      </c>
      <c r="D157" s="1" t="s">
        <v>272</v>
      </c>
      <c r="E157" s="1" t="str">
        <f>"09059411778   "</f>
        <v xml:space="preserve">09059411778   </v>
      </c>
      <c r="F157" s="1" t="str">
        <f>"中島　圭一"</f>
        <v>中島　圭一</v>
      </c>
      <c r="G157" s="1" t="str">
        <f>"R03.05.17"</f>
        <v>R03.05.17</v>
      </c>
      <c r="H157" s="1" t="str">
        <f t="shared" ref="H157:H219" si="9">"開設中"</f>
        <v>開設中</v>
      </c>
      <c r="I157" s="1">
        <v>0</v>
      </c>
      <c r="J157" s="1">
        <v>0</v>
      </c>
      <c r="K157" s="1">
        <v>0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>
        <v>1</v>
      </c>
      <c r="AO157" s="2"/>
      <c r="AP157" s="2"/>
      <c r="AQ157" s="2"/>
      <c r="AR157" s="2"/>
      <c r="AS157" s="2"/>
      <c r="AT157" s="2"/>
      <c r="AU157" s="2"/>
      <c r="AV157" s="2"/>
      <c r="AW157" s="2"/>
      <c r="AX157" s="1"/>
    </row>
    <row r="158" spans="1:50" x14ac:dyDescent="0.4">
      <c r="A158" s="1" t="str">
        <f t="shared" si="8"/>
        <v>菊池</v>
      </c>
      <c r="B158" s="1" t="str">
        <f>"そうま眼科"</f>
        <v>そうま眼科</v>
      </c>
      <c r="C158" s="1" t="str">
        <f>"869-1102"</f>
        <v>869-1102</v>
      </c>
      <c r="D158" s="1" t="s">
        <v>273</v>
      </c>
      <c r="E158" s="1" t="str">
        <f>"0963405520    "</f>
        <v xml:space="preserve">0963405520    </v>
      </c>
      <c r="F158" s="1" t="str">
        <f>"医療法人　智実会"</f>
        <v>医療法人　智実会</v>
      </c>
      <c r="G158" s="1" t="str">
        <f>"R03.12.01"</f>
        <v>R03.12.01</v>
      </c>
      <c r="H158" s="1" t="str">
        <f t="shared" si="9"/>
        <v>開設中</v>
      </c>
      <c r="I158" s="1">
        <v>0</v>
      </c>
      <c r="J158" s="1">
        <v>0</v>
      </c>
      <c r="K158" s="1">
        <v>0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>
        <v>1</v>
      </c>
      <c r="AO158" s="2"/>
      <c r="AP158" s="2"/>
      <c r="AQ158" s="2"/>
      <c r="AR158" s="2"/>
      <c r="AS158" s="2"/>
      <c r="AT158" s="2"/>
      <c r="AU158" s="2"/>
      <c r="AV158" s="2"/>
      <c r="AW158" s="2"/>
      <c r="AX158" s="1"/>
    </row>
    <row r="159" spans="1:50" x14ac:dyDescent="0.4">
      <c r="A159" s="1" t="str">
        <f t="shared" si="8"/>
        <v>菊池</v>
      </c>
      <c r="B159" s="1" t="str">
        <f>"みずの内科・血圧心臓クリニック"</f>
        <v>みずの内科・血圧心臓クリニック</v>
      </c>
      <c r="C159" s="1" t="str">
        <f>"861-1115"</f>
        <v>861-1115</v>
      </c>
      <c r="D159" s="1" t="s">
        <v>274</v>
      </c>
      <c r="E159" s="1" t="str">
        <f>"0962483355    "</f>
        <v xml:space="preserve">0962483355    </v>
      </c>
      <c r="F159" s="1" t="str">
        <f>"水野　雄二"</f>
        <v>水野　雄二</v>
      </c>
      <c r="G159" s="1" t="str">
        <f>"R04.03.09"</f>
        <v>R04.03.09</v>
      </c>
      <c r="H159" s="1" t="str">
        <f t="shared" si="9"/>
        <v>開設中</v>
      </c>
      <c r="I159" s="1">
        <v>0</v>
      </c>
      <c r="J159" s="1">
        <v>0</v>
      </c>
      <c r="K159" s="1">
        <v>0</v>
      </c>
      <c r="L159" s="2">
        <v>1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1" t="s">
        <v>61</v>
      </c>
    </row>
    <row r="160" spans="1:50" x14ac:dyDescent="0.4">
      <c r="A160" s="1" t="str">
        <f t="shared" si="8"/>
        <v>菊池</v>
      </c>
      <c r="B160" s="1" t="str">
        <f>"穂っぷ　こども在宅＆心身クリニック"</f>
        <v>穂っぷ　こども在宅＆心身クリニック</v>
      </c>
      <c r="C160" s="1" t="str">
        <f>"861-1101"</f>
        <v>861-1101</v>
      </c>
      <c r="D160" s="1" t="s">
        <v>275</v>
      </c>
      <c r="E160" s="1" t="str">
        <f>"0962279001    "</f>
        <v xml:space="preserve">0962279001    </v>
      </c>
      <c r="F160" s="1" t="str">
        <f>"NPO法人NEXTEP"</f>
        <v>NPO法人NEXTEP</v>
      </c>
      <c r="G160" s="1" t="str">
        <f>"R04.05.18"</f>
        <v>R04.05.18</v>
      </c>
      <c r="H160" s="1" t="str">
        <f t="shared" si="9"/>
        <v>開設中</v>
      </c>
      <c r="I160" s="1">
        <v>7</v>
      </c>
      <c r="J160" s="1">
        <v>7</v>
      </c>
      <c r="K160" s="1">
        <v>0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>
        <v>1</v>
      </c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1"/>
    </row>
    <row r="161" spans="1:50" x14ac:dyDescent="0.4">
      <c r="A161" s="1" t="str">
        <f t="shared" si="8"/>
        <v>菊池</v>
      </c>
      <c r="B161" s="1" t="str">
        <f>"さかぐち消化器・内科クリニック"</f>
        <v>さかぐち消化器・内科クリニック</v>
      </c>
      <c r="C161" s="1" t="str">
        <f>"869-1101"</f>
        <v>869-1101</v>
      </c>
      <c r="D161" s="1" t="s">
        <v>276</v>
      </c>
      <c r="E161" s="1" t="str">
        <f>"0962923800    "</f>
        <v xml:space="preserve">0962923800    </v>
      </c>
      <c r="F161" s="1" t="str">
        <f>"坂口　将文"</f>
        <v>坂口　将文</v>
      </c>
      <c r="G161" s="1" t="str">
        <f>"R04.06.15"</f>
        <v>R04.06.15</v>
      </c>
      <c r="H161" s="1" t="str">
        <f t="shared" si="9"/>
        <v>開設中</v>
      </c>
      <c r="I161" s="1">
        <v>0</v>
      </c>
      <c r="J161" s="1">
        <v>0</v>
      </c>
      <c r="K161" s="1">
        <v>0</v>
      </c>
      <c r="L161" s="2">
        <v>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1" t="s">
        <v>62</v>
      </c>
    </row>
    <row r="162" spans="1:50" x14ac:dyDescent="0.4">
      <c r="A162" s="1" t="str">
        <f t="shared" si="8"/>
        <v>菊池</v>
      </c>
      <c r="B162" s="1" t="str">
        <f>"古賀医院"</f>
        <v>古賀医院</v>
      </c>
      <c r="C162" s="1" t="str">
        <f>"861-1201"</f>
        <v>861-1201</v>
      </c>
      <c r="D162" s="1" t="s">
        <v>277</v>
      </c>
      <c r="E162" s="1" t="str">
        <f>"0968382222    "</f>
        <v xml:space="preserve">0968382222    </v>
      </c>
      <c r="F162" s="1" t="str">
        <f>"古賀　荒太郎"</f>
        <v>古賀　荒太郎</v>
      </c>
      <c r="G162" s="1" t="str">
        <f>"R04.07.01"</f>
        <v>R04.07.01</v>
      </c>
      <c r="H162" s="1" t="str">
        <f t="shared" si="9"/>
        <v>開設中</v>
      </c>
      <c r="I162" s="1">
        <v>0</v>
      </c>
      <c r="J162" s="1">
        <v>0</v>
      </c>
      <c r="K162" s="1">
        <v>0</v>
      </c>
      <c r="L162" s="2">
        <v>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>
        <v>1</v>
      </c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1" t="s">
        <v>62</v>
      </c>
    </row>
    <row r="163" spans="1:50" x14ac:dyDescent="0.4">
      <c r="A163" s="1" t="str">
        <f t="shared" si="8"/>
        <v>菊池</v>
      </c>
      <c r="B163" s="1" t="str">
        <f>"くまもと免疫統合医療クリニック"</f>
        <v>くまもと免疫統合医療クリニック</v>
      </c>
      <c r="C163" s="1" t="str">
        <f>"861-1114"</f>
        <v>861-1114</v>
      </c>
      <c r="D163" s="1" t="s">
        <v>278</v>
      </c>
      <c r="E163" s="1" t="str">
        <f>"0962771205    "</f>
        <v xml:space="preserve">0962771205    </v>
      </c>
      <c r="F163" s="1" t="str">
        <f>"医療法人　全健会"</f>
        <v>医療法人　全健会</v>
      </c>
      <c r="G163" s="1" t="str">
        <f>"R04.09.01"</f>
        <v>R04.09.01</v>
      </c>
      <c r="H163" s="1" t="str">
        <f t="shared" si="9"/>
        <v>開設中</v>
      </c>
      <c r="I163" s="1">
        <v>0</v>
      </c>
      <c r="J163" s="1">
        <v>0</v>
      </c>
      <c r="K163" s="1">
        <v>0</v>
      </c>
      <c r="L163" s="2">
        <v>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>
        <v>1</v>
      </c>
      <c r="Y163" s="2"/>
      <c r="Z163" s="2"/>
      <c r="AA163" s="2"/>
      <c r="AB163" s="2"/>
      <c r="AC163" s="2"/>
      <c r="AD163" s="2">
        <v>1</v>
      </c>
      <c r="AE163" s="2"/>
      <c r="AF163" s="2"/>
      <c r="AG163" s="2"/>
      <c r="AH163" s="2"/>
      <c r="AI163" s="2"/>
      <c r="AJ163" s="2"/>
      <c r="AK163" s="2"/>
      <c r="AL163" s="2"/>
      <c r="AM163" s="2">
        <v>1</v>
      </c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1" t="s">
        <v>63</v>
      </c>
    </row>
    <row r="164" spans="1:50" x14ac:dyDescent="0.4">
      <c r="A164" s="1" t="str">
        <f t="shared" si="8"/>
        <v>菊池</v>
      </c>
      <c r="B164" s="1" t="str">
        <f>"アトピアクリニック"</f>
        <v>アトピアクリニック</v>
      </c>
      <c r="C164" s="1" t="str">
        <f>"869-1101"</f>
        <v>869-1101</v>
      </c>
      <c r="D164" s="1" t="s">
        <v>279</v>
      </c>
      <c r="E164" s="1" t="str">
        <f>"0963492566    "</f>
        <v xml:space="preserve">0963492566    </v>
      </c>
      <c r="F164" s="1" t="str">
        <f>"医療法人　アトピア"</f>
        <v>医療法人　アトピア</v>
      </c>
      <c r="G164" s="1" t="str">
        <f>"R05.01.01"</f>
        <v>R05.01.01</v>
      </c>
      <c r="H164" s="1" t="str">
        <f t="shared" si="9"/>
        <v>開設中</v>
      </c>
      <c r="I164" s="1">
        <v>0</v>
      </c>
      <c r="J164" s="1">
        <v>0</v>
      </c>
      <c r="K164" s="1">
        <v>0</v>
      </c>
      <c r="L164" s="2"/>
      <c r="M164" s="2"/>
      <c r="N164" s="2"/>
      <c r="O164" s="2"/>
      <c r="P164" s="2"/>
      <c r="Q164" s="2"/>
      <c r="R164" s="2"/>
      <c r="S164" s="2"/>
      <c r="T164" s="2"/>
      <c r="U164" s="2">
        <v>1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>
        <v>1</v>
      </c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1"/>
    </row>
    <row r="165" spans="1:50" x14ac:dyDescent="0.4">
      <c r="A165" s="1" t="str">
        <f t="shared" si="8"/>
        <v>菊池</v>
      </c>
      <c r="B165" s="1" t="str">
        <f>"岡本内科・呼吸器内科クリニック"</f>
        <v>岡本内科・呼吸器内科クリニック</v>
      </c>
      <c r="C165" s="1" t="str">
        <f>"869-1235"</f>
        <v>869-1235</v>
      </c>
      <c r="D165" s="1" t="s">
        <v>280</v>
      </c>
      <c r="E165" s="1" t="str">
        <f>"0962936000    "</f>
        <v xml:space="preserve">0962936000    </v>
      </c>
      <c r="F165" s="1" t="str">
        <f>"医療法人　岡本内科・呼吸器内科クリニック"</f>
        <v>医療法人　岡本内科・呼吸器内科クリニック</v>
      </c>
      <c r="G165" s="1" t="str">
        <f>"R05.04.01"</f>
        <v>R05.04.01</v>
      </c>
      <c r="H165" s="1" t="str">
        <f t="shared" si="9"/>
        <v>開設中</v>
      </c>
      <c r="I165" s="1">
        <v>0</v>
      </c>
      <c r="J165" s="1">
        <v>0</v>
      </c>
      <c r="K165" s="1">
        <v>0</v>
      </c>
      <c r="L165" s="2">
        <v>1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1" t="s">
        <v>64</v>
      </c>
    </row>
    <row r="166" spans="1:50" x14ac:dyDescent="0.4">
      <c r="A166" s="1" t="str">
        <f t="shared" si="8"/>
        <v>菊池</v>
      </c>
      <c r="B166" s="1" t="str">
        <f>"うえの整形外科クリニック"</f>
        <v>うえの整形外科クリニック</v>
      </c>
      <c r="C166" s="1" t="str">
        <f>"869-1102"</f>
        <v>869-1102</v>
      </c>
      <c r="D166" s="1" t="s">
        <v>281</v>
      </c>
      <c r="E166" s="1" t="str">
        <f>"0962886177    "</f>
        <v xml:space="preserve">0962886177    </v>
      </c>
      <c r="F166" s="1" t="str">
        <f>"上野　智規"</f>
        <v>上野　智規</v>
      </c>
      <c r="G166" s="1" t="str">
        <f>"R05.05.01"</f>
        <v>R05.05.01</v>
      </c>
      <c r="H166" s="1" t="str">
        <f t="shared" si="9"/>
        <v>開設中</v>
      </c>
      <c r="I166" s="1">
        <v>0</v>
      </c>
      <c r="J166" s="1">
        <v>0</v>
      </c>
      <c r="K166" s="1">
        <v>0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>
        <v>1</v>
      </c>
      <c r="W166" s="2"/>
      <c r="X166" s="2"/>
      <c r="Y166" s="2">
        <v>1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>
        <v>1</v>
      </c>
      <c r="AR166" s="2"/>
      <c r="AS166" s="2"/>
      <c r="AT166" s="2"/>
      <c r="AU166" s="2"/>
      <c r="AV166" s="2"/>
      <c r="AW166" s="2"/>
      <c r="AX166" s="1"/>
    </row>
    <row r="167" spans="1:50" x14ac:dyDescent="0.4">
      <c r="A167" s="1" t="str">
        <f t="shared" si="8"/>
        <v>菊池</v>
      </c>
      <c r="B167" s="1" t="str">
        <f>"くろかわクリニック"</f>
        <v>くろかわクリニック</v>
      </c>
      <c r="C167" s="1" t="str">
        <f>"869-1102"</f>
        <v>869-1102</v>
      </c>
      <c r="D167" s="1" t="s">
        <v>282</v>
      </c>
      <c r="E167" s="1" t="str">
        <f>"0962886185    "</f>
        <v xml:space="preserve">0962886185    </v>
      </c>
      <c r="F167" s="1" t="str">
        <f>"医療法人社団　篤心会"</f>
        <v>医療法人社団　篤心会</v>
      </c>
      <c r="G167" s="1" t="str">
        <f>"R05.07.11"</f>
        <v>R05.07.11</v>
      </c>
      <c r="H167" s="1" t="str">
        <f t="shared" si="9"/>
        <v>開設中</v>
      </c>
      <c r="I167" s="1">
        <v>0</v>
      </c>
      <c r="J167" s="1">
        <v>0</v>
      </c>
      <c r="K167" s="1">
        <v>0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>
        <v>1</v>
      </c>
      <c r="AK167" s="2"/>
      <c r="AL167" s="2"/>
      <c r="AM167" s="2">
        <v>1</v>
      </c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1" t="s">
        <v>65</v>
      </c>
    </row>
    <row r="168" spans="1:50" x14ac:dyDescent="0.4">
      <c r="A168" s="1" t="str">
        <f t="shared" si="8"/>
        <v>菊池</v>
      </c>
      <c r="B168" s="1" t="str">
        <f>"ハル内科皮フ科クリニック"</f>
        <v>ハル内科皮フ科クリニック</v>
      </c>
      <c r="C168" s="1" t="str">
        <f>"869-1101"</f>
        <v>869-1101</v>
      </c>
      <c r="D168" s="1" t="s">
        <v>283</v>
      </c>
      <c r="E168" s="1" t="str">
        <f>"0962328383    "</f>
        <v xml:space="preserve">0962328383    </v>
      </c>
      <c r="F168" s="1" t="str">
        <f>"医療法人　花悠会"</f>
        <v>医療法人　花悠会</v>
      </c>
      <c r="G168" s="1" t="str">
        <f>"R05.10.01"</f>
        <v>R05.10.01</v>
      </c>
      <c r="H168" s="1" t="str">
        <f t="shared" si="9"/>
        <v>開設中</v>
      </c>
      <c r="I168" s="1">
        <v>0</v>
      </c>
      <c r="J168" s="1">
        <v>0</v>
      </c>
      <c r="K168" s="1">
        <v>0</v>
      </c>
      <c r="L168" s="2">
        <v>1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>
        <v>1</v>
      </c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>
        <v>1</v>
      </c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1" t="s">
        <v>57</v>
      </c>
    </row>
    <row r="169" spans="1:50" x14ac:dyDescent="0.4">
      <c r="A169" s="1" t="str">
        <f t="shared" si="8"/>
        <v>菊池</v>
      </c>
      <c r="B169" s="1" t="str">
        <f>"きくち宮本泌尿器科"</f>
        <v>きくち宮本泌尿器科</v>
      </c>
      <c r="C169" s="1" t="str">
        <f>"861-1331"</f>
        <v>861-1331</v>
      </c>
      <c r="D169" s="1" t="s">
        <v>284</v>
      </c>
      <c r="E169" s="1" t="str">
        <f>"0968248101    "</f>
        <v xml:space="preserve">0968248101    </v>
      </c>
      <c r="F169" s="1" t="str">
        <f>"医療法人　ウェルフロウ"</f>
        <v>医療法人　ウェルフロウ</v>
      </c>
      <c r="G169" s="1" t="str">
        <f>"R06.01.01"</f>
        <v>R06.01.01</v>
      </c>
      <c r="H169" s="1" t="str">
        <f t="shared" si="9"/>
        <v>開設中</v>
      </c>
      <c r="I169" s="1">
        <v>0</v>
      </c>
      <c r="J169" s="1">
        <v>0</v>
      </c>
      <c r="K169" s="1">
        <v>0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>
        <v>1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1"/>
    </row>
    <row r="170" spans="1:50" x14ac:dyDescent="0.4">
      <c r="A170" s="1" t="str">
        <f t="shared" si="8"/>
        <v>菊池</v>
      </c>
      <c r="B170" s="1" t="str">
        <f>"永田眼科"</f>
        <v>永田眼科</v>
      </c>
      <c r="C170" s="1" t="str">
        <f>"869-1101"</f>
        <v>869-1101</v>
      </c>
      <c r="D170" s="1" t="s">
        <v>285</v>
      </c>
      <c r="E170" s="1" t="str">
        <f>"0962851117    "</f>
        <v xml:space="preserve">0962851117    </v>
      </c>
      <c r="F170" s="1" t="str">
        <f>"医療法人　智仁勇"</f>
        <v>医療法人　智仁勇</v>
      </c>
      <c r="G170" s="1" t="str">
        <f>"R06.04.01"</f>
        <v>R06.04.01</v>
      </c>
      <c r="H170" s="1" t="str">
        <f t="shared" si="9"/>
        <v>開設中</v>
      </c>
      <c r="I170" s="1">
        <v>0</v>
      </c>
      <c r="J170" s="1">
        <v>0</v>
      </c>
      <c r="K170" s="1">
        <v>0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>
        <v>1</v>
      </c>
      <c r="AO170" s="2"/>
      <c r="AP170" s="2"/>
      <c r="AQ170" s="2"/>
      <c r="AR170" s="2"/>
      <c r="AS170" s="2"/>
      <c r="AT170" s="2"/>
      <c r="AU170" s="2"/>
      <c r="AV170" s="2"/>
      <c r="AW170" s="2"/>
      <c r="AX170" s="1"/>
    </row>
    <row r="171" spans="1:50" x14ac:dyDescent="0.4">
      <c r="A171" s="1" t="str">
        <f t="shared" ref="A171:A176" si="10">"菊池"</f>
        <v>菊池</v>
      </c>
      <c r="B171" s="1" t="str">
        <f>"大津なかしま皮膚科・美容皮膚科"</f>
        <v>大津なかしま皮膚科・美容皮膚科</v>
      </c>
      <c r="C171" s="1" t="str">
        <f>"869-1234"</f>
        <v>869-1234</v>
      </c>
      <c r="D171" s="1" t="s">
        <v>286</v>
      </c>
      <c r="E171" s="1" t="str">
        <f>"0962947770    "</f>
        <v xml:space="preserve">0962947770    </v>
      </c>
      <c r="F171" s="1" t="str">
        <f>"中島　聡子"</f>
        <v>中島　聡子</v>
      </c>
      <c r="G171" s="1" t="str">
        <f>"R06.04.17"</f>
        <v>R06.04.17</v>
      </c>
      <c r="H171" s="1" t="str">
        <f t="shared" si="9"/>
        <v>開設中</v>
      </c>
      <c r="I171" s="1">
        <v>0</v>
      </c>
      <c r="J171" s="1">
        <v>0</v>
      </c>
      <c r="K171" s="1">
        <v>0</v>
      </c>
      <c r="L171" s="2"/>
      <c r="M171" s="2"/>
      <c r="N171" s="2"/>
      <c r="O171" s="2"/>
      <c r="P171" s="2"/>
      <c r="Q171" s="2"/>
      <c r="R171" s="2"/>
      <c r="S171" s="2"/>
      <c r="T171" s="2"/>
      <c r="U171" s="2">
        <v>1</v>
      </c>
      <c r="V171" s="2"/>
      <c r="W171" s="2"/>
      <c r="X171" s="2"/>
      <c r="Y171" s="2"/>
      <c r="Z171" s="2">
        <v>1</v>
      </c>
      <c r="AA171" s="2"/>
      <c r="AB171" s="2"/>
      <c r="AC171" s="2"/>
      <c r="AD171" s="2"/>
      <c r="AE171" s="2"/>
      <c r="AF171" s="2"/>
      <c r="AG171" s="2"/>
      <c r="AH171" s="2"/>
      <c r="AI171" s="2">
        <v>1</v>
      </c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1" t="s">
        <v>66</v>
      </c>
    </row>
    <row r="172" spans="1:50" x14ac:dyDescent="0.4">
      <c r="A172" s="1" t="str">
        <f t="shared" si="10"/>
        <v>菊池</v>
      </c>
      <c r="B172" s="1" t="str">
        <f>"光の森こどもクリニック"</f>
        <v>光の森こどもクリニック</v>
      </c>
      <c r="C172" s="1" t="str">
        <f>"869-1108"</f>
        <v>869-1108</v>
      </c>
      <c r="D172" s="1" t="s">
        <v>287</v>
      </c>
      <c r="E172" s="1" t="str">
        <f>"0963778005    "</f>
        <v xml:space="preserve">0963778005    </v>
      </c>
      <c r="F172" s="1" t="str">
        <f>"橘　秀和"</f>
        <v>橘　秀和</v>
      </c>
      <c r="G172" s="1" t="str">
        <f>"R06.09.17"</f>
        <v>R06.09.17</v>
      </c>
      <c r="H172" s="1" t="str">
        <f t="shared" si="9"/>
        <v>開設中</v>
      </c>
      <c r="I172" s="1">
        <v>0</v>
      </c>
      <c r="J172" s="1">
        <v>0</v>
      </c>
      <c r="K172" s="1">
        <v>0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>
        <v>1</v>
      </c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1"/>
    </row>
    <row r="173" spans="1:50" x14ac:dyDescent="0.4">
      <c r="A173" s="1" t="str">
        <f t="shared" si="10"/>
        <v>菊池</v>
      </c>
      <c r="B173" s="1" t="str">
        <f>"ほしのマロニエこころのクリニック"</f>
        <v>ほしのマロニエこころのクリニック</v>
      </c>
      <c r="C173" s="1" t="str">
        <f>"861-1102"</f>
        <v>861-1102</v>
      </c>
      <c r="D173" s="1" t="s">
        <v>288</v>
      </c>
      <c r="E173" s="1" t="str">
        <f>"0962015270    "</f>
        <v xml:space="preserve">0962015270    </v>
      </c>
      <c r="F173" s="1" t="str">
        <f>"医療法人　一穂会"</f>
        <v>医療法人　一穂会</v>
      </c>
      <c r="G173" s="1" t="str">
        <f>"R06.11.01"</f>
        <v>R06.11.01</v>
      </c>
      <c r="H173" s="1" t="str">
        <f t="shared" si="9"/>
        <v>開設中</v>
      </c>
      <c r="I173" s="1">
        <v>0</v>
      </c>
      <c r="J173" s="1">
        <v>0</v>
      </c>
      <c r="K173" s="1">
        <v>0</v>
      </c>
      <c r="L173" s="2"/>
      <c r="M173" s="2"/>
      <c r="N173" s="2">
        <v>1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1"/>
    </row>
    <row r="174" spans="1:50" x14ac:dyDescent="0.4">
      <c r="A174" s="1" t="str">
        <f t="shared" si="10"/>
        <v>菊池</v>
      </c>
      <c r="B174" s="1" t="str">
        <f>"岩本整形外科"</f>
        <v>岩本整形外科</v>
      </c>
      <c r="C174" s="1" t="str">
        <f>"861-1115"</f>
        <v>861-1115</v>
      </c>
      <c r="D174" s="1" t="s">
        <v>289</v>
      </c>
      <c r="E174" s="1" t="str">
        <f>"0962238899    "</f>
        <v xml:space="preserve">0962238899    </v>
      </c>
      <c r="F174" s="1" t="str">
        <f>"医療法人　岩本整形外科"</f>
        <v>医療法人　岩本整形外科</v>
      </c>
      <c r="G174" s="1" t="str">
        <f>"R07.04.01"</f>
        <v>R07.04.01</v>
      </c>
      <c r="H174" s="1" t="str">
        <f t="shared" si="9"/>
        <v>開設中</v>
      </c>
      <c r="I174" s="1">
        <v>0</v>
      </c>
      <c r="J174" s="1">
        <v>0</v>
      </c>
      <c r="K174" s="1">
        <v>0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>
        <v>1</v>
      </c>
      <c r="W174" s="2"/>
      <c r="X174" s="2"/>
      <c r="Y174" s="2">
        <v>1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>
        <v>1</v>
      </c>
      <c r="AR174" s="2"/>
      <c r="AS174" s="2"/>
      <c r="AT174" s="2"/>
      <c r="AU174" s="2"/>
      <c r="AV174" s="2"/>
      <c r="AW174" s="2"/>
      <c r="AX174" s="1"/>
    </row>
    <row r="175" spans="1:50" x14ac:dyDescent="0.4">
      <c r="A175" s="1" t="str">
        <f t="shared" si="10"/>
        <v>菊池</v>
      </c>
      <c r="B175" s="1" t="str">
        <f>"ゆめクリニック"</f>
        <v>ゆめクリニック</v>
      </c>
      <c r="C175" s="1" t="str">
        <f>"869-1233"</f>
        <v>869-1233</v>
      </c>
      <c r="D175" s="1" t="s">
        <v>290</v>
      </c>
      <c r="E175" s="1" t="str">
        <f>"0962349999    "</f>
        <v xml:space="preserve">0962349999    </v>
      </c>
      <c r="F175" s="1" t="str">
        <f>"市橋　政和"</f>
        <v>市橋　政和</v>
      </c>
      <c r="G175" s="1" t="str">
        <f>"R07.02.28"</f>
        <v>R07.02.28</v>
      </c>
      <c r="H175" s="1" t="str">
        <f t="shared" si="9"/>
        <v>開設中</v>
      </c>
      <c r="I175" s="1">
        <v>0</v>
      </c>
      <c r="J175" s="1">
        <v>0</v>
      </c>
      <c r="K175" s="1">
        <v>0</v>
      </c>
      <c r="L175" s="2">
        <v>1</v>
      </c>
      <c r="M175" s="2">
        <v>1</v>
      </c>
      <c r="N175" s="2">
        <v>1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1" t="s">
        <v>45</v>
      </c>
    </row>
    <row r="176" spans="1:50" x14ac:dyDescent="0.4">
      <c r="A176" s="1" t="str">
        <f t="shared" si="10"/>
        <v>菊池</v>
      </c>
      <c r="B176" s="1" t="str">
        <f>"きくよう泌尿器科・内科"</f>
        <v>きくよう泌尿器科・内科</v>
      </c>
      <c r="C176" s="1" t="str">
        <f>"869-1102"</f>
        <v>869-1102</v>
      </c>
      <c r="D176" s="1" t="s">
        <v>291</v>
      </c>
      <c r="E176" s="1" t="str">
        <f>"0962331000    "</f>
        <v xml:space="preserve">0962331000    </v>
      </c>
      <c r="F176" s="1" t="str">
        <f>"矢野　大輔"</f>
        <v>矢野　大輔</v>
      </c>
      <c r="G176" s="1" t="str">
        <f>"R07.03.28"</f>
        <v>R07.03.28</v>
      </c>
      <c r="H176" s="1" t="str">
        <f t="shared" si="9"/>
        <v>開設中</v>
      </c>
      <c r="I176" s="1">
        <v>0</v>
      </c>
      <c r="J176" s="1">
        <v>0</v>
      </c>
      <c r="K176" s="1">
        <v>0</v>
      </c>
      <c r="L176" s="2">
        <v>1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>
        <v>1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1"/>
    </row>
    <row r="177" spans="1:50" x14ac:dyDescent="0.4">
      <c r="A177" s="1" t="str">
        <f t="shared" ref="A177:A218" si="11">"阿蘇"</f>
        <v>阿蘇</v>
      </c>
      <c r="B177" s="1" t="str">
        <f>"特別養護老人ホーム　あその杜"</f>
        <v>特別養護老人ホーム　あその杜</v>
      </c>
      <c r="C177" s="1" t="str">
        <f>"869-2226"</f>
        <v>869-2226</v>
      </c>
      <c r="D177" s="1" t="s">
        <v>292</v>
      </c>
      <c r="E177" s="1" t="str">
        <f>"0967355311    "</f>
        <v xml:space="preserve">0967355311    </v>
      </c>
      <c r="F177" s="1" t="str">
        <f>"やまなみ会"</f>
        <v>やまなみ会</v>
      </c>
      <c r="G177" s="1" t="str">
        <f>"R04.04.01"</f>
        <v>R04.04.01</v>
      </c>
      <c r="H177" s="1" t="str">
        <f t="shared" si="9"/>
        <v>開設中</v>
      </c>
      <c r="I177" s="1">
        <v>0</v>
      </c>
      <c r="J177" s="1">
        <v>0</v>
      </c>
      <c r="K177" s="1">
        <v>0</v>
      </c>
      <c r="L177" s="2">
        <v>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1" t="s">
        <v>67</v>
      </c>
    </row>
    <row r="178" spans="1:50" x14ac:dyDescent="0.4">
      <c r="A178" s="1" t="str">
        <f t="shared" si="11"/>
        <v>阿蘇</v>
      </c>
      <c r="B178" s="1" t="str">
        <f>"おぐにサテライト診療所"</f>
        <v>おぐにサテライト診療所</v>
      </c>
      <c r="C178" s="1" t="str">
        <f>"869-2501"</f>
        <v>869-2501</v>
      </c>
      <c r="D178" s="1" t="s">
        <v>293</v>
      </c>
      <c r="E178" s="1" t="str">
        <f>"0967328010    "</f>
        <v xml:space="preserve">0967328010    </v>
      </c>
      <c r="F178" s="1" t="str">
        <f>"小国郷公立病院組合"</f>
        <v>小国郷公立病院組合</v>
      </c>
      <c r="G178" s="1" t="str">
        <f>"R05.07.01"</f>
        <v>R05.07.01</v>
      </c>
      <c r="H178" s="1" t="str">
        <f t="shared" si="9"/>
        <v>開設中</v>
      </c>
      <c r="I178" s="1">
        <v>0</v>
      </c>
      <c r="J178" s="1">
        <v>0</v>
      </c>
      <c r="K178" s="1">
        <v>0</v>
      </c>
      <c r="L178" s="2">
        <v>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1"/>
    </row>
    <row r="179" spans="1:50" x14ac:dyDescent="0.4">
      <c r="A179" s="1" t="str">
        <f t="shared" si="11"/>
        <v>阿蘇</v>
      </c>
      <c r="B179" s="1" t="str">
        <f>"ハッピー眼科"</f>
        <v>ハッピー眼科</v>
      </c>
      <c r="C179" s="1" t="str">
        <f>"869-1411"</f>
        <v>869-1411</v>
      </c>
      <c r="D179" s="1" t="s">
        <v>294</v>
      </c>
      <c r="E179" s="1" t="str">
        <f>"0967670855    "</f>
        <v xml:space="preserve">0967670855    </v>
      </c>
      <c r="F179" s="1" t="str">
        <f>"医療法人社団　彩健会"</f>
        <v>医療法人社団　彩健会</v>
      </c>
      <c r="G179" s="1" t="str">
        <f>"R07.03.13"</f>
        <v>R07.03.13</v>
      </c>
      <c r="H179" s="1" t="str">
        <f t="shared" si="9"/>
        <v>開設中</v>
      </c>
      <c r="I179" s="1">
        <v>0</v>
      </c>
      <c r="J179" s="1">
        <v>0</v>
      </c>
      <c r="K179" s="1">
        <v>0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>
        <v>1</v>
      </c>
      <c r="AO179" s="2"/>
      <c r="AP179" s="2"/>
      <c r="AQ179" s="2"/>
      <c r="AR179" s="2"/>
      <c r="AS179" s="2"/>
      <c r="AT179" s="2"/>
      <c r="AU179" s="2"/>
      <c r="AV179" s="2"/>
      <c r="AW179" s="2"/>
      <c r="AX179" s="1"/>
    </row>
    <row r="180" spans="1:50" x14ac:dyDescent="0.4">
      <c r="A180" s="1" t="str">
        <f t="shared" si="11"/>
        <v>阿蘇</v>
      </c>
      <c r="B180" s="1" t="str">
        <f>"一の宮整形外科"</f>
        <v>一の宮整形外科</v>
      </c>
      <c r="C180" s="1" t="str">
        <f>"869-2612"</f>
        <v>869-2612</v>
      </c>
      <c r="D180" s="1" t="s">
        <v>295</v>
      </c>
      <c r="E180" s="1" t="str">
        <f>"0967223911    "</f>
        <v xml:space="preserve">0967223911    </v>
      </c>
      <c r="F180" s="1" t="str">
        <f>"古閑　今朝輝"</f>
        <v>古閑　今朝輝</v>
      </c>
      <c r="G180" s="1" t="str">
        <f>"H01.11.22"</f>
        <v>H01.11.22</v>
      </c>
      <c r="H180" s="1" t="str">
        <f t="shared" si="9"/>
        <v>開設中</v>
      </c>
      <c r="I180" s="1">
        <v>0</v>
      </c>
      <c r="J180" s="1">
        <v>0</v>
      </c>
      <c r="K180" s="1">
        <v>0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>
        <v>1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>
        <v>1</v>
      </c>
      <c r="AR180" s="2"/>
      <c r="AS180" s="2"/>
      <c r="AT180" s="2"/>
      <c r="AU180" s="2"/>
      <c r="AV180" s="2"/>
      <c r="AW180" s="2">
        <v>1</v>
      </c>
      <c r="AX180" s="1"/>
    </row>
    <row r="181" spans="1:50" x14ac:dyDescent="0.4">
      <c r="A181" s="1" t="str">
        <f t="shared" si="11"/>
        <v>阿蘇</v>
      </c>
      <c r="B181" s="1" t="str">
        <f>"特別養護老人ホーム　　あそん里　医務室"</f>
        <v>特別養護老人ホーム　　あそん里　医務室</v>
      </c>
      <c r="C181" s="1" t="str">
        <f>"869-2611"</f>
        <v>869-2611</v>
      </c>
      <c r="D181" s="1" t="s">
        <v>296</v>
      </c>
      <c r="E181" s="1" t="str">
        <f>"0967221511    "</f>
        <v xml:space="preserve">0967221511    </v>
      </c>
      <c r="F181" s="1" t="str">
        <f>"社会福祉法人　　治誠会"</f>
        <v>社会福祉法人　　治誠会</v>
      </c>
      <c r="G181" s="1" t="str">
        <f>"H08.06.01"</f>
        <v>H08.06.01</v>
      </c>
      <c r="H181" s="1" t="str">
        <f t="shared" si="9"/>
        <v>開設中</v>
      </c>
      <c r="I181" s="1">
        <v>0</v>
      </c>
      <c r="J181" s="1">
        <v>0</v>
      </c>
      <c r="K181" s="1">
        <v>0</v>
      </c>
      <c r="L181" s="2">
        <v>1</v>
      </c>
      <c r="M181" s="2"/>
      <c r="N181" s="2">
        <v>1</v>
      </c>
      <c r="O181" s="2">
        <v>1</v>
      </c>
      <c r="P181" s="2">
        <v>1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1"/>
    </row>
    <row r="182" spans="1:50" x14ac:dyDescent="0.4">
      <c r="A182" s="1" t="str">
        <f t="shared" si="11"/>
        <v>阿蘇</v>
      </c>
      <c r="B182" s="1" t="str">
        <f>"市原胃腸科外科"</f>
        <v>市原胃腸科外科</v>
      </c>
      <c r="C182" s="1" t="str">
        <f>"869-2225"</f>
        <v>869-2225</v>
      </c>
      <c r="D182" s="1" t="s">
        <v>297</v>
      </c>
      <c r="E182" s="1" t="str">
        <f>"0967341211    "</f>
        <v xml:space="preserve">0967341211    </v>
      </c>
      <c r="F182" s="1" t="str">
        <f>"医療法人社団　恒仁会"</f>
        <v>医療法人社団　恒仁会</v>
      </c>
      <c r="G182" s="1" t="str">
        <f>"H06.03.01"</f>
        <v>H06.03.01</v>
      </c>
      <c r="H182" s="1" t="str">
        <f t="shared" si="9"/>
        <v>開設中</v>
      </c>
      <c r="I182" s="1">
        <v>3</v>
      </c>
      <c r="J182" s="1">
        <v>3</v>
      </c>
      <c r="K182" s="1">
        <v>0</v>
      </c>
      <c r="L182" s="2">
        <v>1</v>
      </c>
      <c r="M182" s="2"/>
      <c r="N182" s="2"/>
      <c r="O182" s="2"/>
      <c r="P182" s="2"/>
      <c r="Q182" s="2"/>
      <c r="R182" s="2">
        <v>1</v>
      </c>
      <c r="S182" s="2">
        <v>1</v>
      </c>
      <c r="T182" s="2"/>
      <c r="U182" s="2"/>
      <c r="V182" s="2"/>
      <c r="W182" s="2"/>
      <c r="X182" s="2">
        <v>1</v>
      </c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1"/>
    </row>
    <row r="183" spans="1:50" x14ac:dyDescent="0.4">
      <c r="A183" s="1" t="str">
        <f t="shared" si="11"/>
        <v>阿蘇</v>
      </c>
      <c r="B183" s="1" t="str">
        <f>"小野主生医院"</f>
        <v>小野主生医院</v>
      </c>
      <c r="C183" s="1" t="str">
        <f>"869-2301"</f>
        <v>869-2301</v>
      </c>
      <c r="D183" s="1" t="s">
        <v>298</v>
      </c>
      <c r="E183" s="1" t="str">
        <f>"0967320039    "</f>
        <v xml:space="preserve">0967320039    </v>
      </c>
      <c r="F183" s="1" t="str">
        <f>"小野　崇"</f>
        <v>小野　崇</v>
      </c>
      <c r="G183" s="1" t="str">
        <f>"S60.08.31"</f>
        <v>S60.08.31</v>
      </c>
      <c r="H183" s="1" t="str">
        <f t="shared" si="9"/>
        <v>開設中</v>
      </c>
      <c r="I183" s="1">
        <v>0</v>
      </c>
      <c r="J183" s="1">
        <v>0</v>
      </c>
      <c r="K183" s="1">
        <v>0</v>
      </c>
      <c r="L183" s="2">
        <v>1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>
        <v>1</v>
      </c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>
        <v>1</v>
      </c>
      <c r="AO183" s="2"/>
      <c r="AP183" s="2"/>
      <c r="AQ183" s="2"/>
      <c r="AR183" s="2"/>
      <c r="AS183" s="2"/>
      <c r="AT183" s="2"/>
      <c r="AU183" s="2"/>
      <c r="AV183" s="2"/>
      <c r="AW183" s="2"/>
      <c r="AX183" s="1" t="s">
        <v>68</v>
      </c>
    </row>
    <row r="184" spans="1:50" x14ac:dyDescent="0.4">
      <c r="A184" s="1" t="str">
        <f t="shared" si="11"/>
        <v>阿蘇</v>
      </c>
      <c r="B184" s="1" t="str">
        <f>"坂梨ハートクリニック"</f>
        <v>坂梨ハートクリニック</v>
      </c>
      <c r="C184" s="1" t="str">
        <f>"869-2307"</f>
        <v>869-2307</v>
      </c>
      <c r="D184" s="1" t="s">
        <v>299</v>
      </c>
      <c r="E184" s="1" t="str">
        <f>"0967246262    "</f>
        <v xml:space="preserve">0967246262    </v>
      </c>
      <c r="F184" s="1" t="str">
        <f>"医療法人　坂梨ハート会"</f>
        <v>医療法人　坂梨ハート会</v>
      </c>
      <c r="G184" s="1" t="str">
        <f>"H14.09.01"</f>
        <v>H14.09.01</v>
      </c>
      <c r="H184" s="1" t="str">
        <f t="shared" si="9"/>
        <v>開設中</v>
      </c>
      <c r="I184" s="1">
        <v>19</v>
      </c>
      <c r="J184" s="1">
        <v>19</v>
      </c>
      <c r="K184" s="1">
        <v>0</v>
      </c>
      <c r="L184" s="2">
        <v>1</v>
      </c>
      <c r="M184" s="2"/>
      <c r="N184" s="2"/>
      <c r="O184" s="2"/>
      <c r="P184" s="2"/>
      <c r="Q184" s="2"/>
      <c r="R184" s="2"/>
      <c r="S184" s="2"/>
      <c r="T184" s="2">
        <v>1</v>
      </c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>
        <v>1</v>
      </c>
      <c r="AR184" s="2"/>
      <c r="AS184" s="2"/>
      <c r="AT184" s="2"/>
      <c r="AU184" s="2"/>
      <c r="AV184" s="2"/>
      <c r="AW184" s="2"/>
      <c r="AX184" s="1" t="s">
        <v>69</v>
      </c>
    </row>
    <row r="185" spans="1:50" x14ac:dyDescent="0.4">
      <c r="A185" s="1" t="str">
        <f t="shared" si="11"/>
        <v>阿蘇</v>
      </c>
      <c r="B185" s="1" t="str">
        <f>"障害者支援施設　たちばな園　　医務室"</f>
        <v>障害者支援施設　たちばな園　　医務室</v>
      </c>
      <c r="C185" s="1" t="str">
        <f>"869-2302"</f>
        <v>869-2302</v>
      </c>
      <c r="D185" s="1" t="s">
        <v>300</v>
      </c>
      <c r="E185" s="1" t="str">
        <f>"0967322100    "</f>
        <v xml:space="preserve">0967322100    </v>
      </c>
      <c r="F185" s="1" t="str">
        <f>"社会福祉法人　　蘇幸会"</f>
        <v>社会福祉法人　　蘇幸会</v>
      </c>
      <c r="G185" s="1" t="str">
        <f>"S57.03.31"</f>
        <v>S57.03.31</v>
      </c>
      <c r="H185" s="1" t="str">
        <f t="shared" si="9"/>
        <v>開設中</v>
      </c>
      <c r="I185" s="1">
        <v>0</v>
      </c>
      <c r="J185" s="1">
        <v>0</v>
      </c>
      <c r="K185" s="1">
        <v>0</v>
      </c>
      <c r="L185" s="2">
        <v>1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1"/>
    </row>
    <row r="186" spans="1:50" x14ac:dyDescent="0.4">
      <c r="A186" s="1" t="str">
        <f t="shared" si="11"/>
        <v>阿蘇</v>
      </c>
      <c r="B186" s="1" t="str">
        <f>"問端医院"</f>
        <v>問端医院</v>
      </c>
      <c r="C186" s="1" t="str">
        <f>"869-2301"</f>
        <v>869-2301</v>
      </c>
      <c r="D186" s="1" t="s">
        <v>301</v>
      </c>
      <c r="E186" s="1" t="str">
        <f>"0967320102    "</f>
        <v xml:space="preserve">0967320102    </v>
      </c>
      <c r="F186" s="1" t="str">
        <f>"医療法人社団　　問端会"</f>
        <v>医療法人社団　　問端会</v>
      </c>
      <c r="G186" s="1" t="str">
        <f>"H02.03.01"</f>
        <v>H02.03.01</v>
      </c>
      <c r="H186" s="1" t="str">
        <f t="shared" si="9"/>
        <v>開設中</v>
      </c>
      <c r="I186" s="1">
        <v>19</v>
      </c>
      <c r="J186" s="1">
        <v>19</v>
      </c>
      <c r="K186" s="1">
        <v>0</v>
      </c>
      <c r="L186" s="2">
        <v>1</v>
      </c>
      <c r="M186" s="2"/>
      <c r="N186" s="2"/>
      <c r="O186" s="2"/>
      <c r="P186" s="2"/>
      <c r="Q186" s="2"/>
      <c r="R186" s="2"/>
      <c r="S186" s="2"/>
      <c r="T186" s="2"/>
      <c r="U186" s="2">
        <v>1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1" t="s">
        <v>70</v>
      </c>
    </row>
    <row r="187" spans="1:50" x14ac:dyDescent="0.4">
      <c r="A187" s="1" t="str">
        <f t="shared" si="11"/>
        <v>阿蘇</v>
      </c>
      <c r="B187" s="1" t="str">
        <f>"特別養護老人ホーム　阿蘇みやま荘　　医務室"</f>
        <v>特別養護老人ホーム　阿蘇みやま荘　　医務室</v>
      </c>
      <c r="C187" s="1" t="str">
        <f>"869-2225"</f>
        <v>869-2225</v>
      </c>
      <c r="D187" s="1" t="s">
        <v>302</v>
      </c>
      <c r="E187" s="1" t="str">
        <f>"0967340848    "</f>
        <v xml:space="preserve">0967340848    </v>
      </c>
      <c r="F187" s="1" t="str">
        <f>"阿蘇広域行政事務組合"</f>
        <v>阿蘇広域行政事務組合</v>
      </c>
      <c r="G187" s="1" t="str">
        <f>"S63.08.16"</f>
        <v>S63.08.16</v>
      </c>
      <c r="H187" s="1" t="str">
        <f t="shared" si="9"/>
        <v>開設中</v>
      </c>
      <c r="I187" s="1">
        <v>0</v>
      </c>
      <c r="J187" s="1">
        <v>0</v>
      </c>
      <c r="K187" s="1">
        <v>0</v>
      </c>
      <c r="L187" s="2">
        <v>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1"/>
    </row>
    <row r="188" spans="1:50" x14ac:dyDescent="0.4">
      <c r="A188" s="1" t="str">
        <f t="shared" si="11"/>
        <v>阿蘇</v>
      </c>
      <c r="B188" s="1" t="str">
        <f>"ＮＯＫ（株）　熊本事業場健康管理室"</f>
        <v>ＮＯＫ（株）　熊本事業場健康管理室</v>
      </c>
      <c r="C188" s="1" t="str">
        <f>"869-2231"</f>
        <v>869-2231</v>
      </c>
      <c r="D188" s="1" t="s">
        <v>303</v>
      </c>
      <c r="E188" s="1" t="str">
        <f>"0967350331    "</f>
        <v xml:space="preserve">0967350331    </v>
      </c>
      <c r="F188" s="1" t="str">
        <f>"ＮＯＫ株式会社"</f>
        <v>ＮＯＫ株式会社</v>
      </c>
      <c r="G188" s="1" t="str">
        <f>"S46.09.03"</f>
        <v>S46.09.03</v>
      </c>
      <c r="H188" s="1" t="str">
        <f t="shared" si="9"/>
        <v>開設中</v>
      </c>
      <c r="I188" s="1">
        <v>0</v>
      </c>
      <c r="J188" s="1">
        <v>0</v>
      </c>
      <c r="K188" s="1">
        <v>0</v>
      </c>
      <c r="L188" s="2">
        <v>1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>
        <v>1</v>
      </c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1"/>
    </row>
    <row r="189" spans="1:50" x14ac:dyDescent="0.4">
      <c r="A189" s="1" t="str">
        <f t="shared" si="11"/>
        <v>阿蘇</v>
      </c>
      <c r="B189" s="1" t="str">
        <f>"脇胃腸科"</f>
        <v>脇胃腸科</v>
      </c>
      <c r="C189" s="1" t="str">
        <f>"869-2301"</f>
        <v>869-2301</v>
      </c>
      <c r="D189" s="1" t="s">
        <v>304</v>
      </c>
      <c r="E189" s="1" t="str">
        <f>"0967322500    "</f>
        <v xml:space="preserve">0967322500    </v>
      </c>
      <c r="F189" s="1" t="str">
        <f>"医療法人社団　　澄幸会"</f>
        <v>医療法人社団　　澄幸会</v>
      </c>
      <c r="G189" s="1" t="str">
        <f>"H08.03.06"</f>
        <v>H08.03.06</v>
      </c>
      <c r="H189" s="1" t="str">
        <f t="shared" si="9"/>
        <v>開設中</v>
      </c>
      <c r="I189" s="1">
        <v>0</v>
      </c>
      <c r="J189" s="1">
        <v>0</v>
      </c>
      <c r="K189" s="1">
        <v>0</v>
      </c>
      <c r="L189" s="2"/>
      <c r="M189" s="2"/>
      <c r="N189" s="2"/>
      <c r="O189" s="2"/>
      <c r="P189" s="2"/>
      <c r="Q189" s="2"/>
      <c r="R189" s="2">
        <v>1</v>
      </c>
      <c r="S189" s="2">
        <v>1</v>
      </c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>
        <v>1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1"/>
    </row>
    <row r="190" spans="1:50" x14ac:dyDescent="0.4">
      <c r="A190" s="1" t="str">
        <f t="shared" si="11"/>
        <v>阿蘇</v>
      </c>
      <c r="B190" s="1" t="str">
        <f>"特別養護老人ホ－ム　　悠清苑　診療所"</f>
        <v>特別養護老人ホ－ム　　悠清苑　診療所</v>
      </c>
      <c r="C190" s="1" t="str">
        <f>"869-2402"</f>
        <v>869-2402</v>
      </c>
      <c r="D190" s="1" t="s">
        <v>305</v>
      </c>
      <c r="E190" s="1" t="str">
        <f>"0967440800    "</f>
        <v xml:space="preserve">0967440800    </v>
      </c>
      <c r="F190" s="1" t="str">
        <f>"社会福祉法人　　昭寿会"</f>
        <v>社会福祉法人　　昭寿会</v>
      </c>
      <c r="G190" s="1" t="str">
        <f>"H03.10.05"</f>
        <v>H03.10.05</v>
      </c>
      <c r="H190" s="1" t="str">
        <f t="shared" si="9"/>
        <v>開設中</v>
      </c>
      <c r="I190" s="1">
        <v>0</v>
      </c>
      <c r="J190" s="1">
        <v>0</v>
      </c>
      <c r="K190" s="1">
        <v>0</v>
      </c>
      <c r="L190" s="2">
        <v>1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1"/>
    </row>
    <row r="191" spans="1:50" x14ac:dyDescent="0.4">
      <c r="A191" s="1" t="str">
        <f t="shared" si="11"/>
        <v>阿蘇</v>
      </c>
      <c r="B191" s="1" t="str">
        <f>"蓮田クリニック"</f>
        <v>蓮田クリニック</v>
      </c>
      <c r="C191" s="1" t="str">
        <f>"869-2401"</f>
        <v>869-2401</v>
      </c>
      <c r="D191" s="1" t="s">
        <v>306</v>
      </c>
      <c r="E191" s="1" t="str">
        <f>"0967420125    "</f>
        <v xml:space="preserve">0967420125    </v>
      </c>
      <c r="F191" s="1" t="str">
        <f>"医療法人社団　　昭仁会"</f>
        <v>医療法人社団　　昭仁会</v>
      </c>
      <c r="G191" s="1" t="str">
        <f>"H11.06.18"</f>
        <v>H11.06.18</v>
      </c>
      <c r="H191" s="1" t="str">
        <f t="shared" si="9"/>
        <v>開設中</v>
      </c>
      <c r="I191" s="1">
        <v>0</v>
      </c>
      <c r="J191" s="1">
        <v>0</v>
      </c>
      <c r="K191" s="1">
        <v>0</v>
      </c>
      <c r="L191" s="2">
        <v>1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>
        <v>1</v>
      </c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>
        <v>1</v>
      </c>
      <c r="AR191" s="2"/>
      <c r="AS191" s="2"/>
      <c r="AT191" s="2"/>
      <c r="AU191" s="2"/>
      <c r="AV191" s="2"/>
      <c r="AW191" s="2"/>
      <c r="AX191" s="1"/>
    </row>
    <row r="192" spans="1:50" x14ac:dyDescent="0.4">
      <c r="A192" s="1" t="str">
        <f t="shared" si="11"/>
        <v>阿蘇</v>
      </c>
      <c r="B192" s="1" t="str">
        <f>"おぐに整形外科"</f>
        <v>おぐに整形外科</v>
      </c>
      <c r="C192" s="1" t="str">
        <f>"869-2501"</f>
        <v>869-2501</v>
      </c>
      <c r="D192" s="1" t="s">
        <v>307</v>
      </c>
      <c r="E192" s="1" t="str">
        <f>"0967462121    "</f>
        <v xml:space="preserve">0967462121    </v>
      </c>
      <c r="F192" s="1" t="str">
        <f>"梅田　修二"</f>
        <v>梅田　修二</v>
      </c>
      <c r="G192" s="1" t="str">
        <f>"H14.06.18"</f>
        <v>H14.06.18</v>
      </c>
      <c r="H192" s="1" t="str">
        <f t="shared" si="9"/>
        <v>開設中</v>
      </c>
      <c r="I192" s="1">
        <v>0</v>
      </c>
      <c r="J192" s="1">
        <v>0</v>
      </c>
      <c r="K192" s="1">
        <v>0</v>
      </c>
      <c r="L192" s="2">
        <v>1</v>
      </c>
      <c r="M192" s="2">
        <v>1</v>
      </c>
      <c r="N192" s="2"/>
      <c r="O192" s="2"/>
      <c r="P192" s="2">
        <v>1</v>
      </c>
      <c r="Q192" s="2"/>
      <c r="R192" s="2"/>
      <c r="S192" s="2"/>
      <c r="T192" s="2"/>
      <c r="U192" s="2"/>
      <c r="V192" s="2">
        <v>1</v>
      </c>
      <c r="W192" s="2">
        <v>1</v>
      </c>
      <c r="X192" s="2"/>
      <c r="Y192" s="2">
        <v>1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>
        <v>1</v>
      </c>
      <c r="AJ192" s="2"/>
      <c r="AK192" s="2"/>
      <c r="AL192" s="2"/>
      <c r="AM192" s="2"/>
      <c r="AN192" s="2"/>
      <c r="AO192" s="2"/>
      <c r="AP192" s="2"/>
      <c r="AQ192" s="2">
        <v>1</v>
      </c>
      <c r="AR192" s="2"/>
      <c r="AS192" s="2"/>
      <c r="AT192" s="2"/>
      <c r="AU192" s="2"/>
      <c r="AV192" s="2"/>
      <c r="AW192" s="2"/>
      <c r="AX192" s="1"/>
    </row>
    <row r="193" spans="1:50" x14ac:dyDescent="0.4">
      <c r="A193" s="1" t="str">
        <f t="shared" si="11"/>
        <v>阿蘇</v>
      </c>
      <c r="B193" s="1" t="str">
        <f>"産山村診療所"</f>
        <v>産山村診療所</v>
      </c>
      <c r="C193" s="1" t="str">
        <f>"869-2703"</f>
        <v>869-2703</v>
      </c>
      <c r="D193" s="1" t="s">
        <v>308</v>
      </c>
      <c r="E193" s="1" t="str">
        <f>"0967252011    "</f>
        <v xml:space="preserve">0967252011    </v>
      </c>
      <c r="F193" s="1" t="str">
        <f>"産山村"</f>
        <v>産山村</v>
      </c>
      <c r="G193" s="1" t="str">
        <f>"H07.04.01"</f>
        <v>H07.04.01</v>
      </c>
      <c r="H193" s="1" t="str">
        <f t="shared" si="9"/>
        <v>開設中</v>
      </c>
      <c r="I193" s="1">
        <v>0</v>
      </c>
      <c r="J193" s="1">
        <v>0</v>
      </c>
      <c r="K193" s="1">
        <v>0</v>
      </c>
      <c r="L193" s="2">
        <v>1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>
        <v>1</v>
      </c>
      <c r="X193" s="2">
        <v>1</v>
      </c>
      <c r="Y193" s="2">
        <v>1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>
        <v>1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1"/>
    </row>
    <row r="194" spans="1:50" x14ac:dyDescent="0.4">
      <c r="A194" s="1" t="str">
        <f t="shared" si="11"/>
        <v>阿蘇</v>
      </c>
      <c r="B194" s="1" t="str">
        <f>"阿蘇医療センター波野診療所"</f>
        <v>阿蘇医療センター波野診療所</v>
      </c>
      <c r="C194" s="1" t="str">
        <f>"869-2806"</f>
        <v>869-2806</v>
      </c>
      <c r="D194" s="1" t="s">
        <v>309</v>
      </c>
      <c r="E194" s="1" t="str">
        <f>"0967242203    "</f>
        <v xml:space="preserve">0967242203    </v>
      </c>
      <c r="F194" s="1" t="str">
        <f>"阿蘇市"</f>
        <v>阿蘇市</v>
      </c>
      <c r="G194" s="1" t="str">
        <f>"H07.04.01"</f>
        <v>H07.04.01</v>
      </c>
      <c r="H194" s="1" t="str">
        <f t="shared" si="9"/>
        <v>開設中</v>
      </c>
      <c r="I194" s="1">
        <v>0</v>
      </c>
      <c r="J194" s="1">
        <v>0</v>
      </c>
      <c r="K194" s="1">
        <v>0</v>
      </c>
      <c r="L194" s="2">
        <v>1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>
        <v>1</v>
      </c>
      <c r="Y194" s="2">
        <v>1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>
        <v>1</v>
      </c>
      <c r="AT194" s="2"/>
      <c r="AU194" s="2"/>
      <c r="AV194" s="2"/>
      <c r="AW194" s="2"/>
      <c r="AX194" s="1"/>
    </row>
    <row r="195" spans="1:50" x14ac:dyDescent="0.4">
      <c r="A195" s="1" t="str">
        <f t="shared" si="11"/>
        <v>阿蘇</v>
      </c>
      <c r="B195" s="1" t="str">
        <f>"特別養護老人ホ－ム　梅香苑　医務室"</f>
        <v>特別養護老人ホ－ム　梅香苑　医務室</v>
      </c>
      <c r="C195" s="1" t="str">
        <f>"869-1602"</f>
        <v>869-1602</v>
      </c>
      <c r="D195" s="1" t="s">
        <v>310</v>
      </c>
      <c r="E195" s="1" t="str">
        <f>"0967623111    "</f>
        <v xml:space="preserve">0967623111    </v>
      </c>
      <c r="F195" s="1" t="str">
        <f>"社会福祉法人　　岳寿会"</f>
        <v>社会福祉法人　　岳寿会</v>
      </c>
      <c r="G195" s="1" t="str">
        <f>"S59.04.01"</f>
        <v>S59.04.01</v>
      </c>
      <c r="H195" s="1" t="str">
        <f t="shared" si="9"/>
        <v>開設中</v>
      </c>
      <c r="I195" s="1">
        <v>0</v>
      </c>
      <c r="J195" s="1">
        <v>0</v>
      </c>
      <c r="K195" s="1">
        <v>0</v>
      </c>
      <c r="L195" s="2">
        <v>1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1"/>
    </row>
    <row r="196" spans="1:50" x14ac:dyDescent="0.4">
      <c r="A196" s="1" t="str">
        <f t="shared" si="11"/>
        <v>阿蘇</v>
      </c>
      <c r="B196" s="1" t="str">
        <f>"特別養護老人ホ－ム　水生苑　　医務室"</f>
        <v>特別養護老人ホ－ム　水生苑　　医務室</v>
      </c>
      <c r="C196" s="1" t="str">
        <f>"869-1504"</f>
        <v>869-1504</v>
      </c>
      <c r="D196" s="1" t="s">
        <v>311</v>
      </c>
      <c r="E196" s="1" t="str">
        <f>"0967629688    "</f>
        <v xml:space="preserve">0967629688    </v>
      </c>
      <c r="F196" s="1" t="str">
        <f>"社会福祉法人　　白久寿会"</f>
        <v>社会福祉法人　　白久寿会</v>
      </c>
      <c r="G196" s="1" t="str">
        <f>"H06.05.01"</f>
        <v>H06.05.01</v>
      </c>
      <c r="H196" s="1" t="str">
        <f t="shared" si="9"/>
        <v>開設中</v>
      </c>
      <c r="I196" s="1">
        <v>0</v>
      </c>
      <c r="J196" s="1">
        <v>0</v>
      </c>
      <c r="K196" s="1">
        <v>0</v>
      </c>
      <c r="L196" s="2">
        <v>1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1"/>
    </row>
    <row r="197" spans="1:50" x14ac:dyDescent="0.4">
      <c r="A197" s="1" t="str">
        <f t="shared" si="11"/>
        <v>阿蘇</v>
      </c>
      <c r="B197" s="1" t="str">
        <f>"藤本医院"</f>
        <v>藤本医院</v>
      </c>
      <c r="C197" s="1" t="str">
        <f>"869-1505"</f>
        <v>869-1505</v>
      </c>
      <c r="D197" s="1" t="s">
        <v>312</v>
      </c>
      <c r="E197" s="1" t="str">
        <f>"0967670020    "</f>
        <v xml:space="preserve">0967670020    </v>
      </c>
      <c r="F197" s="1" t="str">
        <f>"藤本　　康子"</f>
        <v>藤本　　康子</v>
      </c>
      <c r="G197" s="1" t="str">
        <f>"H02.05.01"</f>
        <v>H02.05.01</v>
      </c>
      <c r="H197" s="1" t="str">
        <f t="shared" si="9"/>
        <v>開設中</v>
      </c>
      <c r="I197" s="1">
        <v>0</v>
      </c>
      <c r="J197" s="1">
        <v>0</v>
      </c>
      <c r="K197" s="1">
        <v>0</v>
      </c>
      <c r="L197" s="2">
        <v>1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>
        <v>1</v>
      </c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1"/>
    </row>
    <row r="198" spans="1:50" x14ac:dyDescent="0.4">
      <c r="A198" s="1" t="str">
        <f t="shared" si="11"/>
        <v>阿蘇</v>
      </c>
      <c r="B198" s="1" t="str">
        <f>"渡邉内科"</f>
        <v>渡邉内科</v>
      </c>
      <c r="C198" s="1" t="str">
        <f>"869-1411"</f>
        <v>869-1411</v>
      </c>
      <c r="D198" s="1" t="s">
        <v>313</v>
      </c>
      <c r="E198" s="1" t="str">
        <f>"0967671777    "</f>
        <v xml:space="preserve">0967671777    </v>
      </c>
      <c r="F198" s="1" t="str">
        <f>"医療法人社団　　清流会"</f>
        <v>医療法人社団　　清流会</v>
      </c>
      <c r="G198" s="1" t="str">
        <f>"H11.02.01"</f>
        <v>H11.02.01</v>
      </c>
      <c r="H198" s="1" t="str">
        <f t="shared" si="9"/>
        <v>開設中</v>
      </c>
      <c r="I198" s="1">
        <v>0</v>
      </c>
      <c r="J198" s="1">
        <v>0</v>
      </c>
      <c r="K198" s="1">
        <v>0</v>
      </c>
      <c r="L198" s="2">
        <v>1</v>
      </c>
      <c r="M198" s="2"/>
      <c r="N198" s="2"/>
      <c r="O198" s="2"/>
      <c r="P198" s="2">
        <v>1</v>
      </c>
      <c r="Q198" s="2">
        <v>1</v>
      </c>
      <c r="R198" s="2">
        <v>1</v>
      </c>
      <c r="S198" s="2"/>
      <c r="T198" s="2">
        <v>1</v>
      </c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>
        <v>1</v>
      </c>
      <c r="AS198" s="2"/>
      <c r="AT198" s="2"/>
      <c r="AU198" s="2"/>
      <c r="AV198" s="2"/>
      <c r="AW198" s="2"/>
      <c r="AX198" s="1"/>
    </row>
    <row r="199" spans="1:50" x14ac:dyDescent="0.4">
      <c r="A199" s="1" t="str">
        <f t="shared" si="11"/>
        <v>阿蘇</v>
      </c>
      <c r="B199" s="1" t="str">
        <f>"上村医院"</f>
        <v>上村医院</v>
      </c>
      <c r="C199" s="1" t="str">
        <f>"869-1402"</f>
        <v>869-1402</v>
      </c>
      <c r="D199" s="1" t="s">
        <v>314</v>
      </c>
      <c r="E199" s="1" t="str">
        <f>"0967350336    "</f>
        <v xml:space="preserve">0967350336    </v>
      </c>
      <c r="F199" s="1" t="str">
        <f>"医療法人社団　　順幸会"</f>
        <v>医療法人社団　　順幸会</v>
      </c>
      <c r="G199" s="1" t="str">
        <f>"H09.05.01"</f>
        <v>H09.05.01</v>
      </c>
      <c r="H199" s="1" t="str">
        <f t="shared" si="9"/>
        <v>開設中</v>
      </c>
      <c r="I199" s="1">
        <v>0</v>
      </c>
      <c r="J199" s="1">
        <v>0</v>
      </c>
      <c r="K199" s="1">
        <v>0</v>
      </c>
      <c r="L199" s="2">
        <v>1</v>
      </c>
      <c r="M199" s="2"/>
      <c r="N199" s="2"/>
      <c r="O199" s="2"/>
      <c r="P199" s="2"/>
      <c r="Q199" s="2"/>
      <c r="R199" s="2"/>
      <c r="S199" s="2">
        <v>1</v>
      </c>
      <c r="T199" s="2"/>
      <c r="U199" s="2"/>
      <c r="V199" s="2"/>
      <c r="W199" s="2"/>
      <c r="X199" s="2">
        <v>1</v>
      </c>
      <c r="Y199" s="2">
        <v>1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1" t="s">
        <v>61</v>
      </c>
    </row>
    <row r="200" spans="1:50" x14ac:dyDescent="0.4">
      <c r="A200" s="1" t="str">
        <f t="shared" si="11"/>
        <v>阿蘇</v>
      </c>
      <c r="B200" s="1" t="str">
        <f>"特別養護老人ホ－ム　陽ノ丘荘　診療所"</f>
        <v>特別養護老人ホ－ム　陽ノ丘荘　診療所</v>
      </c>
      <c r="C200" s="1" t="str">
        <f>"869-1404"</f>
        <v>869-1404</v>
      </c>
      <c r="D200" s="1" t="s">
        <v>315</v>
      </c>
      <c r="E200" s="1" t="str">
        <f>"0967672500    "</f>
        <v xml:space="preserve">0967672500    </v>
      </c>
      <c r="F200" s="1" t="str">
        <f>"社会福祉法人　　順和会"</f>
        <v>社会福祉法人　　順和会</v>
      </c>
      <c r="G200" s="1" t="str">
        <f>"H02.09.29"</f>
        <v>H02.09.29</v>
      </c>
      <c r="H200" s="1" t="str">
        <f t="shared" si="9"/>
        <v>開設中</v>
      </c>
      <c r="I200" s="1">
        <v>0</v>
      </c>
      <c r="J200" s="1">
        <v>0</v>
      </c>
      <c r="K200" s="1">
        <v>0</v>
      </c>
      <c r="L200" s="2">
        <v>1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1"/>
    </row>
    <row r="201" spans="1:50" x14ac:dyDescent="0.4">
      <c r="A201" s="1" t="str">
        <f t="shared" si="11"/>
        <v>阿蘇</v>
      </c>
      <c r="B201" s="1" t="str">
        <f>"特別養護老人ホームみどりの館医務室"</f>
        <v>特別養護老人ホームみどりの館医務室</v>
      </c>
      <c r="C201" s="1" t="str">
        <f>"861-2403"</f>
        <v>861-2403</v>
      </c>
      <c r="D201" s="1" t="s">
        <v>316</v>
      </c>
      <c r="E201" s="1" t="str">
        <f>"0962794825    "</f>
        <v xml:space="preserve">0962794825    </v>
      </c>
      <c r="F201" s="1" t="str">
        <f>"社会福祉法人　　成仁会"</f>
        <v>社会福祉法人　　成仁会</v>
      </c>
      <c r="G201" s="1" t="str">
        <f>"H11.04.05"</f>
        <v>H11.04.05</v>
      </c>
      <c r="H201" s="1" t="str">
        <f t="shared" si="9"/>
        <v>開設中</v>
      </c>
      <c r="I201" s="1">
        <v>0</v>
      </c>
      <c r="J201" s="1">
        <v>0</v>
      </c>
      <c r="K201" s="1">
        <v>0</v>
      </c>
      <c r="L201" s="2">
        <v>1</v>
      </c>
      <c r="M201" s="2"/>
      <c r="N201" s="2"/>
      <c r="O201" s="2"/>
      <c r="P201" s="2"/>
      <c r="Q201" s="2"/>
      <c r="R201" s="2">
        <v>1</v>
      </c>
      <c r="S201" s="2"/>
      <c r="T201" s="2">
        <v>1</v>
      </c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>
        <v>1</v>
      </c>
      <c r="AR201" s="2"/>
      <c r="AS201" s="2"/>
      <c r="AT201" s="2"/>
      <c r="AU201" s="2"/>
      <c r="AV201" s="2"/>
      <c r="AW201" s="2"/>
      <c r="AX201" s="1"/>
    </row>
    <row r="202" spans="1:50" x14ac:dyDescent="0.4">
      <c r="A202" s="1" t="str">
        <f t="shared" si="11"/>
        <v>阿蘇</v>
      </c>
      <c r="B202" s="1" t="str">
        <f>"眼科古嶋医院"</f>
        <v>眼科古嶋医院</v>
      </c>
      <c r="C202" s="1" t="str">
        <f>"869-2225"</f>
        <v>869-2225</v>
      </c>
      <c r="D202" s="1" t="s">
        <v>317</v>
      </c>
      <c r="E202" s="1" t="str">
        <f>"0967340008    "</f>
        <v xml:space="preserve">0967340008    </v>
      </c>
      <c r="F202" s="1" t="str">
        <f>"眼科古嶋医院"</f>
        <v>眼科古嶋医院</v>
      </c>
      <c r="G202" s="1" t="str">
        <f>"H18.02.01"</f>
        <v>H18.02.01</v>
      </c>
      <c r="H202" s="1" t="str">
        <f t="shared" si="9"/>
        <v>開設中</v>
      </c>
      <c r="I202" s="1">
        <v>5</v>
      </c>
      <c r="J202" s="1">
        <v>5</v>
      </c>
      <c r="K202" s="1">
        <v>0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>
        <v>1</v>
      </c>
      <c r="AO202" s="2"/>
      <c r="AP202" s="2"/>
      <c r="AQ202" s="2"/>
      <c r="AR202" s="2"/>
      <c r="AS202" s="2"/>
      <c r="AT202" s="2"/>
      <c r="AU202" s="2"/>
      <c r="AV202" s="2"/>
      <c r="AW202" s="2"/>
      <c r="AX202" s="1"/>
    </row>
    <row r="203" spans="1:50" x14ac:dyDescent="0.4">
      <c r="A203" s="1" t="str">
        <f t="shared" si="11"/>
        <v>阿蘇</v>
      </c>
      <c r="B203" s="1" t="str">
        <f>"救護施設真和館医務室"</f>
        <v>救護施設真和館医務室</v>
      </c>
      <c r="C203" s="1" t="str">
        <f>"861-2401"</f>
        <v>861-2401</v>
      </c>
      <c r="D203" s="1" t="s">
        <v>318</v>
      </c>
      <c r="E203" s="1" t="str">
        <f>"0962791121    "</f>
        <v xml:space="preserve">0962791121    </v>
      </c>
      <c r="F203" s="1" t="str">
        <f>"社会福祉法人致知会"</f>
        <v>社会福祉法人致知会</v>
      </c>
      <c r="G203" s="1" t="str">
        <f>"H18.04.28"</f>
        <v>H18.04.28</v>
      </c>
      <c r="H203" s="1" t="str">
        <f t="shared" si="9"/>
        <v>開設中</v>
      </c>
      <c r="I203" s="1">
        <v>0</v>
      </c>
      <c r="J203" s="1">
        <v>0</v>
      </c>
      <c r="K203" s="1">
        <v>0</v>
      </c>
      <c r="L203" s="2">
        <v>1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1"/>
    </row>
    <row r="204" spans="1:50" x14ac:dyDescent="0.4">
      <c r="A204" s="1" t="str">
        <f t="shared" si="11"/>
        <v>阿蘇</v>
      </c>
      <c r="B204" s="1" t="str">
        <f>"たくもと小児科クリニック"</f>
        <v>たくもと小児科クリニック</v>
      </c>
      <c r="C204" s="1" t="str">
        <f>"869-2225"</f>
        <v>869-2225</v>
      </c>
      <c r="D204" s="1" t="s">
        <v>319</v>
      </c>
      <c r="E204" s="1" t="str">
        <f>"0967342202    "</f>
        <v xml:space="preserve">0967342202    </v>
      </c>
      <c r="F204" s="1" t="str">
        <f>"医療法人　育栄会"</f>
        <v>医療法人　育栄会</v>
      </c>
      <c r="G204" s="1" t="str">
        <f>"H19.01.01"</f>
        <v>H19.01.01</v>
      </c>
      <c r="H204" s="1" t="str">
        <f t="shared" si="9"/>
        <v>開設中</v>
      </c>
      <c r="I204" s="1">
        <v>0</v>
      </c>
      <c r="J204" s="1">
        <v>0</v>
      </c>
      <c r="K204" s="1">
        <v>0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>
        <v>1</v>
      </c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1"/>
    </row>
    <row r="205" spans="1:50" x14ac:dyDescent="0.4">
      <c r="A205" s="1" t="str">
        <f t="shared" si="11"/>
        <v>阿蘇</v>
      </c>
      <c r="B205" s="1" t="str">
        <f>"松見内科クリニック"</f>
        <v>松見内科クリニック</v>
      </c>
      <c r="C205" s="1" t="str">
        <f>"869-2612"</f>
        <v>869-2612</v>
      </c>
      <c r="D205" s="1" t="s">
        <v>320</v>
      </c>
      <c r="E205" s="1" t="str">
        <f>"0967220260    "</f>
        <v xml:space="preserve">0967220260    </v>
      </c>
      <c r="F205" s="1" t="str">
        <f>"松見信太郎"</f>
        <v>松見信太郎</v>
      </c>
      <c r="G205" s="1" t="str">
        <f>"H19.09.01"</f>
        <v>H19.09.01</v>
      </c>
      <c r="H205" s="1" t="str">
        <f t="shared" si="9"/>
        <v>開設中</v>
      </c>
      <c r="I205" s="1">
        <v>0</v>
      </c>
      <c r="J205" s="1">
        <v>0</v>
      </c>
      <c r="K205" s="1">
        <v>0</v>
      </c>
      <c r="L205" s="2">
        <v>1</v>
      </c>
      <c r="M205" s="2"/>
      <c r="N205" s="2"/>
      <c r="O205" s="2"/>
      <c r="P205" s="2"/>
      <c r="Q205" s="2">
        <v>1</v>
      </c>
      <c r="R205" s="2">
        <v>1</v>
      </c>
      <c r="S205" s="2"/>
      <c r="T205" s="2">
        <v>1</v>
      </c>
      <c r="U205" s="2">
        <v>1</v>
      </c>
      <c r="V205" s="2"/>
      <c r="W205" s="2">
        <v>1</v>
      </c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1"/>
    </row>
    <row r="206" spans="1:50" x14ac:dyDescent="0.4">
      <c r="A206" s="1" t="str">
        <f t="shared" si="11"/>
        <v>阿蘇</v>
      </c>
      <c r="B206" s="1" t="str">
        <f>"特別養護老人ホームなでしこの里"</f>
        <v>特別養護老人ホームなでしこの里</v>
      </c>
      <c r="C206" s="1" t="str">
        <f>"869-2704"</f>
        <v>869-2704</v>
      </c>
      <c r="D206" s="1" t="s">
        <v>321</v>
      </c>
      <c r="E206" s="1" t="str">
        <f>"0967253511    "</f>
        <v xml:space="preserve">0967253511    </v>
      </c>
      <c r="F206" s="1" t="str">
        <f>"社会福祉法人やまなみ会"</f>
        <v>社会福祉法人やまなみ会</v>
      </c>
      <c r="G206" s="1" t="str">
        <f>"H20.10.02"</f>
        <v>H20.10.02</v>
      </c>
      <c r="H206" s="1" t="str">
        <f t="shared" si="9"/>
        <v>開設中</v>
      </c>
      <c r="I206" s="1">
        <v>0</v>
      </c>
      <c r="J206" s="1">
        <v>0</v>
      </c>
      <c r="K206" s="1">
        <v>0</v>
      </c>
      <c r="L206" s="2">
        <v>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>
        <v>1</v>
      </c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>
        <v>1</v>
      </c>
      <c r="AR206" s="2"/>
      <c r="AS206" s="2"/>
      <c r="AT206" s="2"/>
      <c r="AU206" s="2"/>
      <c r="AV206" s="2"/>
      <c r="AW206" s="2"/>
      <c r="AX206" s="1"/>
    </row>
    <row r="207" spans="1:50" x14ac:dyDescent="0.4">
      <c r="A207" s="1" t="str">
        <f t="shared" si="11"/>
        <v>阿蘇</v>
      </c>
      <c r="B207" s="1" t="str">
        <f>"特別養護老人ホームひのおか順心館診療所"</f>
        <v>特別養護老人ホームひのおか順心館診療所</v>
      </c>
      <c r="C207" s="1" t="str">
        <f>"869-2232"</f>
        <v>869-2232</v>
      </c>
      <c r="D207" s="1" t="s">
        <v>322</v>
      </c>
      <c r="E207" s="1" t="str">
        <f>"0967350560    "</f>
        <v xml:space="preserve">0967350560    </v>
      </c>
      <c r="F207" s="1" t="str">
        <f>"社会福祉法人　順和会"</f>
        <v>社会福祉法人　順和会</v>
      </c>
      <c r="G207" s="1" t="str">
        <f>"H23.04.01"</f>
        <v>H23.04.01</v>
      </c>
      <c r="H207" s="1" t="str">
        <f t="shared" si="9"/>
        <v>開設中</v>
      </c>
      <c r="I207" s="1">
        <v>0</v>
      </c>
      <c r="J207" s="1">
        <v>0</v>
      </c>
      <c r="K207" s="1">
        <v>0</v>
      </c>
      <c r="L207" s="2">
        <v>1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>
        <v>1</v>
      </c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1"/>
    </row>
    <row r="208" spans="1:50" x14ac:dyDescent="0.4">
      <c r="A208" s="1" t="str">
        <f t="shared" si="11"/>
        <v>阿蘇</v>
      </c>
      <c r="B208" s="1" t="str">
        <f>"南郷谷リハビリテーションクリニック"</f>
        <v>南郷谷リハビリテーションクリニック</v>
      </c>
      <c r="C208" s="1" t="str">
        <f>"869-1602"</f>
        <v>869-1602</v>
      </c>
      <c r="D208" s="1" t="s">
        <v>323</v>
      </c>
      <c r="E208" s="1" t="str">
        <f>"0967623351    "</f>
        <v xml:space="preserve">0967623351    </v>
      </c>
      <c r="F208" s="1" t="str">
        <f>"社会医療法人社団令和会"</f>
        <v>社会医療法人社団令和会</v>
      </c>
      <c r="G208" s="1" t="str">
        <f>"H24.04.02"</f>
        <v>H24.04.02</v>
      </c>
      <c r="H208" s="1" t="str">
        <f t="shared" si="9"/>
        <v>開設中</v>
      </c>
      <c r="I208" s="1">
        <v>0</v>
      </c>
      <c r="J208" s="1">
        <v>0</v>
      </c>
      <c r="K208" s="1">
        <v>0</v>
      </c>
      <c r="L208" s="2">
        <v>1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>
        <v>1</v>
      </c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>
        <v>1</v>
      </c>
      <c r="AR208" s="2"/>
      <c r="AS208" s="2"/>
      <c r="AT208" s="2"/>
      <c r="AU208" s="2"/>
      <c r="AV208" s="2"/>
      <c r="AW208" s="2"/>
      <c r="AX208" s="1"/>
    </row>
    <row r="209" spans="1:50" x14ac:dyDescent="0.4">
      <c r="A209" s="1" t="str">
        <f t="shared" si="11"/>
        <v>阿蘇</v>
      </c>
      <c r="B209" s="1" t="str">
        <f>"渡邉総合内科クリニック"</f>
        <v>渡邉総合内科クリニック</v>
      </c>
      <c r="C209" s="1" t="str">
        <f>"869-1602"</f>
        <v>869-1602</v>
      </c>
      <c r="D209" s="1" t="s">
        <v>324</v>
      </c>
      <c r="E209" s="1" t="str">
        <f>"0967671777    "</f>
        <v xml:space="preserve">0967671777    </v>
      </c>
      <c r="F209" s="1" t="str">
        <f>"医療法人社団清流会"</f>
        <v>医療法人社団清流会</v>
      </c>
      <c r="G209" s="1" t="str">
        <f>"H25.01.11"</f>
        <v>H25.01.11</v>
      </c>
      <c r="H209" s="1" t="str">
        <f t="shared" si="9"/>
        <v>開設中</v>
      </c>
      <c r="I209" s="1">
        <v>0</v>
      </c>
      <c r="J209" s="1">
        <v>0</v>
      </c>
      <c r="K209" s="1">
        <v>0</v>
      </c>
      <c r="L209" s="2">
        <v>1</v>
      </c>
      <c r="M209" s="2"/>
      <c r="N209" s="2"/>
      <c r="O209" s="2"/>
      <c r="P209" s="2">
        <v>1</v>
      </c>
      <c r="Q209" s="2">
        <v>1</v>
      </c>
      <c r="R209" s="2">
        <v>1</v>
      </c>
      <c r="S209" s="2"/>
      <c r="T209" s="2">
        <v>1</v>
      </c>
      <c r="U209" s="2"/>
      <c r="V209" s="2">
        <v>1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1"/>
    </row>
    <row r="210" spans="1:50" x14ac:dyDescent="0.4">
      <c r="A210" s="1" t="str">
        <f t="shared" si="11"/>
        <v>阿蘇</v>
      </c>
      <c r="B210" s="1" t="str">
        <f>"古閑医院"</f>
        <v>古閑医院</v>
      </c>
      <c r="C210" s="1" t="str">
        <f>"869-2612"</f>
        <v>869-2612</v>
      </c>
      <c r="D210" s="1" t="s">
        <v>325</v>
      </c>
      <c r="E210" s="1" t="str">
        <f>"0967223000    "</f>
        <v xml:space="preserve">0967223000    </v>
      </c>
      <c r="F210" s="1" t="str">
        <f>"医療法人社団宏元会"</f>
        <v>医療法人社団宏元会</v>
      </c>
      <c r="G210" s="1" t="str">
        <f>"H26.03.22"</f>
        <v>H26.03.22</v>
      </c>
      <c r="H210" s="1" t="str">
        <f t="shared" si="9"/>
        <v>開設中</v>
      </c>
      <c r="I210" s="1">
        <v>0</v>
      </c>
      <c r="J210" s="1">
        <v>0</v>
      </c>
      <c r="K210" s="1">
        <v>0</v>
      </c>
      <c r="L210" s="2">
        <v>1</v>
      </c>
      <c r="M210" s="2"/>
      <c r="N210" s="2"/>
      <c r="O210" s="2"/>
      <c r="P210" s="2"/>
      <c r="Q210" s="2"/>
      <c r="R210" s="2"/>
      <c r="S210" s="2">
        <v>1</v>
      </c>
      <c r="T210" s="2"/>
      <c r="U210" s="2"/>
      <c r="V210" s="2"/>
      <c r="W210" s="2">
        <v>1</v>
      </c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1"/>
    </row>
    <row r="211" spans="1:50" x14ac:dyDescent="0.4">
      <c r="A211" s="1" t="str">
        <f t="shared" si="11"/>
        <v>阿蘇</v>
      </c>
      <c r="B211" s="1" t="str">
        <f>"寺﨑内科胃腸科クリニック"</f>
        <v>寺﨑内科胃腸科クリニック</v>
      </c>
      <c r="C211" s="1" t="str">
        <f>"869-1502"</f>
        <v>869-1502</v>
      </c>
      <c r="D211" s="1" t="s">
        <v>326</v>
      </c>
      <c r="E211" s="1" t="str">
        <f>"0967620378    "</f>
        <v xml:space="preserve">0967620378    </v>
      </c>
      <c r="F211" s="1" t="str">
        <f>"医療法人阿蘇久仁会"</f>
        <v>医療法人阿蘇久仁会</v>
      </c>
      <c r="G211" s="1" t="str">
        <f>"H26.09.01"</f>
        <v>H26.09.01</v>
      </c>
      <c r="H211" s="1" t="str">
        <f t="shared" si="9"/>
        <v>開設中</v>
      </c>
      <c r="I211" s="1">
        <v>0</v>
      </c>
      <c r="J211" s="1">
        <v>0</v>
      </c>
      <c r="K211" s="1">
        <v>0</v>
      </c>
      <c r="L211" s="2">
        <v>1</v>
      </c>
      <c r="M211" s="2"/>
      <c r="N211" s="2"/>
      <c r="O211" s="2"/>
      <c r="P211" s="2"/>
      <c r="Q211" s="2"/>
      <c r="R211" s="2">
        <v>1</v>
      </c>
      <c r="S211" s="2">
        <v>1</v>
      </c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1"/>
    </row>
    <row r="212" spans="1:50" x14ac:dyDescent="0.4">
      <c r="A212" s="1" t="str">
        <f t="shared" si="11"/>
        <v>阿蘇</v>
      </c>
      <c r="B212" s="1" t="str">
        <f>"熊本県阿蘇保健所"</f>
        <v>熊本県阿蘇保健所</v>
      </c>
      <c r="C212" s="1" t="str">
        <f>"869-2612"</f>
        <v>869-2612</v>
      </c>
      <c r="D212" s="1" t="s">
        <v>327</v>
      </c>
      <c r="E212" s="1" t="str">
        <f>"0967221110    "</f>
        <v xml:space="preserve">0967221110    </v>
      </c>
      <c r="F212" s="1" t="str">
        <f>"熊本県"</f>
        <v>熊本県</v>
      </c>
      <c r="G212" s="1" t="str">
        <f>"H29.03.21"</f>
        <v>H29.03.21</v>
      </c>
      <c r="H212" s="1" t="str">
        <f t="shared" si="9"/>
        <v>開設中</v>
      </c>
      <c r="I212" s="1">
        <v>0</v>
      </c>
      <c r="J212" s="1">
        <v>0</v>
      </c>
      <c r="K212" s="1">
        <v>0</v>
      </c>
      <c r="L212" s="2">
        <v>1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>
        <v>1</v>
      </c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1"/>
    </row>
    <row r="213" spans="1:50" x14ac:dyDescent="0.4">
      <c r="A213" s="1" t="str">
        <f t="shared" si="11"/>
        <v>阿蘇</v>
      </c>
      <c r="B213" s="1" t="str">
        <f>"養護老人ホームあそ上寿園医務室"</f>
        <v>養護老人ホームあそ上寿園医務室</v>
      </c>
      <c r="C213" s="1" t="str">
        <f>"869-2226"</f>
        <v>869-2226</v>
      </c>
      <c r="D213" s="1" t="s">
        <v>328</v>
      </c>
      <c r="E213" s="1" t="str">
        <f>"0967325501    "</f>
        <v xml:space="preserve">0967325501    </v>
      </c>
      <c r="F213" s="1" t="str">
        <f>"社会福祉法人致知会"</f>
        <v>社会福祉法人致知会</v>
      </c>
      <c r="G213" s="1" t="str">
        <f>"H30.03.09"</f>
        <v>H30.03.09</v>
      </c>
      <c r="H213" s="1" t="str">
        <f t="shared" si="9"/>
        <v>開設中</v>
      </c>
      <c r="I213" s="1">
        <v>0</v>
      </c>
      <c r="J213" s="1">
        <v>0</v>
      </c>
      <c r="K213" s="1">
        <v>0</v>
      </c>
      <c r="L213" s="2">
        <v>1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1"/>
    </row>
    <row r="214" spans="1:50" x14ac:dyDescent="0.4">
      <c r="A214" s="1" t="str">
        <f t="shared" si="11"/>
        <v>阿蘇</v>
      </c>
      <c r="B214" s="1" t="str">
        <f>"養護老人ホーム　湯の里荘　医務室"</f>
        <v>養護老人ホーム　湯の里荘　医務室</v>
      </c>
      <c r="C214" s="1" t="str">
        <f>"869-1501"</f>
        <v>869-1501</v>
      </c>
      <c r="D214" s="1" t="s">
        <v>329</v>
      </c>
      <c r="E214" s="1" t="str">
        <f>"0967631515    "</f>
        <v xml:space="preserve">0967631515    </v>
      </c>
      <c r="F214" s="1" t="str">
        <f>"阿蘇広域行政事務組合"</f>
        <v>阿蘇広域行政事務組合</v>
      </c>
      <c r="G214" s="1" t="str">
        <f>"H30.06.25"</f>
        <v>H30.06.25</v>
      </c>
      <c r="H214" s="1" t="str">
        <f t="shared" si="9"/>
        <v>開設中</v>
      </c>
      <c r="I214" s="1">
        <v>0</v>
      </c>
      <c r="J214" s="1">
        <v>0</v>
      </c>
      <c r="K214" s="1">
        <v>0</v>
      </c>
      <c r="L214" s="2">
        <v>1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1"/>
    </row>
    <row r="215" spans="1:50" x14ac:dyDescent="0.4">
      <c r="A215" s="1" t="str">
        <f t="shared" si="11"/>
        <v>阿蘇</v>
      </c>
      <c r="B215" s="1" t="str">
        <f>"養護老人ホーム悠和の里医務室"</f>
        <v>養護老人ホーム悠和の里医務室</v>
      </c>
      <c r="C215" s="1" t="str">
        <f>"869-2501"</f>
        <v>869-2501</v>
      </c>
      <c r="D215" s="1" t="s">
        <v>330</v>
      </c>
      <c r="E215" s="1" t="str">
        <f>"0967463015    "</f>
        <v xml:space="preserve">0967463015    </v>
      </c>
      <c r="F215" s="1" t="str">
        <f>"社会福祉法人　小国町社会福祉協議会"</f>
        <v>社会福祉法人　小国町社会福祉協議会</v>
      </c>
      <c r="G215" s="1" t="str">
        <f>"R02.10.01"</f>
        <v>R02.10.01</v>
      </c>
      <c r="H215" s="1" t="str">
        <f t="shared" si="9"/>
        <v>開設中</v>
      </c>
      <c r="I215" s="1">
        <v>0</v>
      </c>
      <c r="J215" s="1">
        <v>0</v>
      </c>
      <c r="K215" s="1">
        <v>0</v>
      </c>
      <c r="L215" s="2">
        <v>1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1"/>
    </row>
    <row r="216" spans="1:50" x14ac:dyDescent="0.4">
      <c r="A216" s="1" t="str">
        <f t="shared" si="11"/>
        <v>阿蘇</v>
      </c>
      <c r="B216" s="1" t="str">
        <f>"俵山クリニック"</f>
        <v>俵山クリニック</v>
      </c>
      <c r="C216" s="1" t="str">
        <f>"861-2402"</f>
        <v>861-2402</v>
      </c>
      <c r="D216" s="1" t="s">
        <v>331</v>
      </c>
      <c r="E216" s="1" t="str">
        <f>"0962922250    "</f>
        <v xml:space="preserve">0962922250    </v>
      </c>
      <c r="F216" s="1" t="str">
        <f>"医療法人賢裕光生会"</f>
        <v>医療法人賢裕光生会</v>
      </c>
      <c r="G216" s="1" t="str">
        <f>"R04.06.01"</f>
        <v>R04.06.01</v>
      </c>
      <c r="H216" s="1" t="str">
        <f t="shared" si="9"/>
        <v>開設中</v>
      </c>
      <c r="I216" s="1">
        <v>0</v>
      </c>
      <c r="J216" s="1">
        <v>0</v>
      </c>
      <c r="K216" s="1">
        <v>0</v>
      </c>
      <c r="L216" s="2">
        <v>1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1" t="s">
        <v>62</v>
      </c>
    </row>
    <row r="217" spans="1:50" x14ac:dyDescent="0.4">
      <c r="A217" s="1" t="str">
        <f t="shared" si="11"/>
        <v>阿蘇</v>
      </c>
      <c r="B217" s="1" t="str">
        <f>"良見内科医院"</f>
        <v>良見内科医院</v>
      </c>
      <c r="C217" s="1" t="str">
        <f>"869-1602"</f>
        <v>869-1602</v>
      </c>
      <c r="D217" s="1" t="s">
        <v>332</v>
      </c>
      <c r="E217" s="1" t="str">
        <f>"0967620646    "</f>
        <v xml:space="preserve">0967620646    </v>
      </c>
      <c r="F217" s="1" t="str">
        <f>"医療法人社団　良見内科医院"</f>
        <v>医療法人社団　良見内科医院</v>
      </c>
      <c r="G217" s="1" t="str">
        <f>"R04.10.01"</f>
        <v>R04.10.01</v>
      </c>
      <c r="H217" s="1" t="str">
        <f t="shared" si="9"/>
        <v>開設中</v>
      </c>
      <c r="I217" s="1">
        <v>0</v>
      </c>
      <c r="J217" s="1">
        <v>0</v>
      </c>
      <c r="K217" s="1">
        <v>0</v>
      </c>
      <c r="L217" s="2">
        <v>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1"/>
    </row>
    <row r="218" spans="1:50" x14ac:dyDescent="0.4">
      <c r="A218" s="1" t="str">
        <f t="shared" si="11"/>
        <v>阿蘇</v>
      </c>
      <c r="B218" s="1" t="str">
        <f>"いしだクリニック"</f>
        <v>いしだクリニック</v>
      </c>
      <c r="C218" s="1" t="str">
        <f>"861-2402"</f>
        <v>861-2402</v>
      </c>
      <c r="D218" s="1" t="s">
        <v>333</v>
      </c>
      <c r="E218" s="1" t="str">
        <f>"0962792500    "</f>
        <v xml:space="preserve">0962792500    </v>
      </c>
      <c r="F218" s="1" t="str">
        <f>"石田　隼一"</f>
        <v>石田　隼一</v>
      </c>
      <c r="G218" s="1" t="str">
        <f>"R05.03.01"</f>
        <v>R05.03.01</v>
      </c>
      <c r="H218" s="1" t="str">
        <f t="shared" si="9"/>
        <v>開設中</v>
      </c>
      <c r="I218" s="1">
        <v>0</v>
      </c>
      <c r="J218" s="1">
        <v>0</v>
      </c>
      <c r="K218" s="1">
        <v>0</v>
      </c>
      <c r="L218" s="2">
        <v>1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1" t="s">
        <v>62</v>
      </c>
    </row>
    <row r="219" spans="1:50" x14ac:dyDescent="0.4">
      <c r="A219" s="1" t="str">
        <f t="shared" ref="A219:A250" si="12">"御船"</f>
        <v>御船</v>
      </c>
      <c r="B219" s="1" t="str">
        <f>"大久保耳鼻咽喉科医院"</f>
        <v>大久保耳鼻咽喉科医院</v>
      </c>
      <c r="C219" s="1" t="str">
        <f>"861-3206"</f>
        <v>861-3206</v>
      </c>
      <c r="D219" s="1" t="s">
        <v>334</v>
      </c>
      <c r="E219" s="1" t="str">
        <f>"0962823900    "</f>
        <v xml:space="preserve">0962823900    </v>
      </c>
      <c r="F219" s="1" t="str">
        <f>"医療法人社団　安貴会"</f>
        <v>医療法人社団　安貴会</v>
      </c>
      <c r="G219" s="1" t="str">
        <f>"H03.09.01"</f>
        <v>H03.09.01</v>
      </c>
      <c r="H219" s="1" t="str">
        <f t="shared" si="9"/>
        <v>開設中</v>
      </c>
      <c r="I219" s="1">
        <v>0</v>
      </c>
      <c r="J219" s="1">
        <v>0</v>
      </c>
      <c r="K219" s="1">
        <v>0</v>
      </c>
      <c r="L219" s="2"/>
      <c r="M219" s="2"/>
      <c r="N219" s="2"/>
      <c r="O219" s="2"/>
      <c r="P219" s="2"/>
      <c r="Q219" s="2"/>
      <c r="R219" s="2"/>
      <c r="S219" s="2"/>
      <c r="T219" s="2"/>
      <c r="U219" s="2">
        <v>1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>
        <v>1</v>
      </c>
      <c r="AP219" s="2">
        <v>1</v>
      </c>
      <c r="AQ219" s="2"/>
      <c r="AR219" s="2"/>
      <c r="AS219" s="2"/>
      <c r="AT219" s="2"/>
      <c r="AU219" s="2"/>
      <c r="AV219" s="2"/>
      <c r="AW219" s="2"/>
      <c r="AX219" s="1"/>
    </row>
    <row r="220" spans="1:50" x14ac:dyDescent="0.4">
      <c r="A220" s="1" t="str">
        <f t="shared" si="12"/>
        <v>御船</v>
      </c>
      <c r="B220" s="1" t="str">
        <f>"古閑整形外科胃腸科医院"</f>
        <v>古閑整形外科胃腸科医院</v>
      </c>
      <c r="C220" s="1" t="str">
        <f>"861-3322"</f>
        <v>861-3322</v>
      </c>
      <c r="D220" s="1" t="s">
        <v>335</v>
      </c>
      <c r="E220" s="1" t="str">
        <f>"0962842010    "</f>
        <v xml:space="preserve">0962842010    </v>
      </c>
      <c r="F220" s="1" t="str">
        <f>"医療法人社団　古閑整形外科胃腸科医院"</f>
        <v>医療法人社団　古閑整形外科胃腸科医院</v>
      </c>
      <c r="G220" s="1" t="str">
        <f>"H04.01.04"</f>
        <v>H04.01.04</v>
      </c>
      <c r="H220" s="1" t="str">
        <f t="shared" ref="H220:H279" si="13">"開設中"</f>
        <v>開設中</v>
      </c>
      <c r="I220" s="1">
        <v>0</v>
      </c>
      <c r="J220" s="1">
        <v>0</v>
      </c>
      <c r="K220" s="1">
        <v>0</v>
      </c>
      <c r="L220" s="2">
        <v>1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>
        <v>1</v>
      </c>
      <c r="X220" s="2">
        <v>1</v>
      </c>
      <c r="Y220" s="2">
        <v>1</v>
      </c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>
        <v>1</v>
      </c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1"/>
    </row>
    <row r="221" spans="1:50" x14ac:dyDescent="0.4">
      <c r="A221" s="1" t="str">
        <f t="shared" si="12"/>
        <v>御船</v>
      </c>
      <c r="B221" s="1" t="str">
        <f>"たかぞえ内科循環器内科クリニック"</f>
        <v>たかぞえ内科循環器内科クリニック</v>
      </c>
      <c r="C221" s="1" t="str">
        <f>"861-3207"</f>
        <v>861-3207</v>
      </c>
      <c r="D221" s="1" t="s">
        <v>336</v>
      </c>
      <c r="E221" s="1" t="str">
        <f>"0962820070    "</f>
        <v xml:space="preserve">0962820070    </v>
      </c>
      <c r="F221" s="1" t="str">
        <f>"医療法人　啓成会"</f>
        <v>医療法人　啓成会</v>
      </c>
      <c r="G221" s="1" t="str">
        <f>"H05.01.01"</f>
        <v>H05.01.01</v>
      </c>
      <c r="H221" s="1" t="str">
        <f t="shared" si="13"/>
        <v>開設中</v>
      </c>
      <c r="I221" s="1">
        <v>18</v>
      </c>
      <c r="J221" s="1">
        <v>18</v>
      </c>
      <c r="K221" s="1">
        <v>0</v>
      </c>
      <c r="L221" s="2">
        <v>1</v>
      </c>
      <c r="M221" s="2"/>
      <c r="N221" s="2"/>
      <c r="O221" s="2"/>
      <c r="P221" s="2"/>
      <c r="Q221" s="2">
        <v>1</v>
      </c>
      <c r="R221" s="2"/>
      <c r="S221" s="2"/>
      <c r="T221" s="2">
        <v>1</v>
      </c>
      <c r="U221" s="2"/>
      <c r="V221" s="2"/>
      <c r="W221" s="2">
        <v>1</v>
      </c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>
        <v>1</v>
      </c>
      <c r="AR221" s="2"/>
      <c r="AS221" s="2"/>
      <c r="AT221" s="2"/>
      <c r="AU221" s="2"/>
      <c r="AV221" s="2"/>
      <c r="AW221" s="2"/>
      <c r="AX221" s="1" t="s">
        <v>71</v>
      </c>
    </row>
    <row r="222" spans="1:50" x14ac:dyDescent="0.4">
      <c r="A222" s="1" t="str">
        <f t="shared" si="12"/>
        <v>御船</v>
      </c>
      <c r="B222" s="1" t="str">
        <f>"特別養護老人ホーム　グリーンヒルみふね"</f>
        <v>特別養護老人ホーム　グリーンヒルみふね</v>
      </c>
      <c r="C222" s="1" t="str">
        <f>"861-3206"</f>
        <v>861-3206</v>
      </c>
      <c r="D222" s="1" t="s">
        <v>337</v>
      </c>
      <c r="E222" s="1" t="str">
        <f>"0962817777    "</f>
        <v xml:space="preserve">0962817777    </v>
      </c>
      <c r="F222" s="1" t="str">
        <f>"社会福祉法人　恵寿会"</f>
        <v>社会福祉法人　恵寿会</v>
      </c>
      <c r="G222" s="1" t="str">
        <f>"H12.04.01"</f>
        <v>H12.04.01</v>
      </c>
      <c r="H222" s="1" t="str">
        <f t="shared" si="13"/>
        <v>開設中</v>
      </c>
      <c r="I222" s="1">
        <v>0</v>
      </c>
      <c r="J222" s="1">
        <v>0</v>
      </c>
      <c r="K222" s="1">
        <v>0</v>
      </c>
      <c r="L222" s="2">
        <v>1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>
        <v>1</v>
      </c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1"/>
    </row>
    <row r="223" spans="1:50" x14ac:dyDescent="0.4">
      <c r="A223" s="1" t="str">
        <f t="shared" si="12"/>
        <v>御船</v>
      </c>
      <c r="B223" s="1" t="str">
        <f>"みふね眼科"</f>
        <v>みふね眼科</v>
      </c>
      <c r="C223" s="1" t="str">
        <f>"861-3206"</f>
        <v>861-3206</v>
      </c>
      <c r="D223" s="1" t="s">
        <v>338</v>
      </c>
      <c r="E223" s="1" t="str">
        <f>"0962823711    "</f>
        <v xml:space="preserve">0962823711    </v>
      </c>
      <c r="F223" s="1" t="str">
        <f>"医療法人社団　あおば"</f>
        <v>医療法人社団　あおば</v>
      </c>
      <c r="G223" s="1" t="str">
        <f>"H07.03.01"</f>
        <v>H07.03.01</v>
      </c>
      <c r="H223" s="1" t="str">
        <f t="shared" si="13"/>
        <v>開設中</v>
      </c>
      <c r="I223" s="1">
        <v>0</v>
      </c>
      <c r="J223" s="1">
        <v>0</v>
      </c>
      <c r="K223" s="1">
        <v>0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>
        <v>1</v>
      </c>
      <c r="AO223" s="2"/>
      <c r="AP223" s="2"/>
      <c r="AQ223" s="2"/>
      <c r="AR223" s="2"/>
      <c r="AS223" s="2"/>
      <c r="AT223" s="2"/>
      <c r="AU223" s="2"/>
      <c r="AV223" s="2"/>
      <c r="AW223" s="2"/>
      <c r="AX223" s="1" t="s">
        <v>72</v>
      </c>
    </row>
    <row r="224" spans="1:50" x14ac:dyDescent="0.4">
      <c r="A224" s="1" t="str">
        <f t="shared" si="12"/>
        <v>御船</v>
      </c>
      <c r="B224" s="1" t="str">
        <f>"藤岡医院"</f>
        <v>藤岡医院</v>
      </c>
      <c r="C224" s="1" t="str">
        <f>"861-3207"</f>
        <v>861-3207</v>
      </c>
      <c r="D224" s="1" t="s">
        <v>339</v>
      </c>
      <c r="E224" s="1" t="str">
        <f>"0962820405    "</f>
        <v xml:space="preserve">0962820405    </v>
      </c>
      <c r="F224" s="1" t="str">
        <f>"医療法人社団　藤岡会"</f>
        <v>医療法人社団　藤岡会</v>
      </c>
      <c r="G224" s="1" t="str">
        <f>"H01.04.01"</f>
        <v>H01.04.01</v>
      </c>
      <c r="H224" s="1" t="str">
        <f t="shared" si="13"/>
        <v>開設中</v>
      </c>
      <c r="I224" s="1">
        <v>14</v>
      </c>
      <c r="J224" s="1">
        <v>14</v>
      </c>
      <c r="K224" s="1">
        <v>0</v>
      </c>
      <c r="L224" s="2">
        <v>1</v>
      </c>
      <c r="M224" s="2"/>
      <c r="N224" s="2"/>
      <c r="O224" s="2"/>
      <c r="P224" s="2"/>
      <c r="Q224" s="2"/>
      <c r="R224" s="2">
        <v>1</v>
      </c>
      <c r="S224" s="2"/>
      <c r="T224" s="2"/>
      <c r="U224" s="2"/>
      <c r="V224" s="2"/>
      <c r="W224" s="2">
        <v>1</v>
      </c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>
        <v>1</v>
      </c>
      <c r="AR224" s="2"/>
      <c r="AS224" s="2"/>
      <c r="AT224" s="2"/>
      <c r="AU224" s="2"/>
      <c r="AV224" s="2"/>
      <c r="AW224" s="2"/>
      <c r="AX224" s="1"/>
    </row>
    <row r="225" spans="1:50" x14ac:dyDescent="0.4">
      <c r="A225" s="1" t="str">
        <f t="shared" si="12"/>
        <v>御船</v>
      </c>
      <c r="B225" s="1" t="str">
        <f>"嘉島クリニック"</f>
        <v>嘉島クリニック</v>
      </c>
      <c r="C225" s="1" t="str">
        <f>"861-3101"</f>
        <v>861-3101</v>
      </c>
      <c r="D225" s="1" t="s">
        <v>340</v>
      </c>
      <c r="E225" s="1" t="str">
        <f>"0962371732    "</f>
        <v xml:space="preserve">0962371732    </v>
      </c>
      <c r="F225" s="1" t="str">
        <f>"医療法人社団　如水会"</f>
        <v>医療法人社団　如水会</v>
      </c>
      <c r="G225" s="1" t="str">
        <f>"H01.10.24"</f>
        <v>H01.10.24</v>
      </c>
      <c r="H225" s="1" t="str">
        <f t="shared" si="13"/>
        <v>開設中</v>
      </c>
      <c r="I225" s="1">
        <v>0</v>
      </c>
      <c r="J225" s="1">
        <v>0</v>
      </c>
      <c r="K225" s="1">
        <v>0</v>
      </c>
      <c r="L225" s="2">
        <v>1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1" t="s">
        <v>49</v>
      </c>
    </row>
    <row r="226" spans="1:50" x14ac:dyDescent="0.4">
      <c r="A226" s="1" t="str">
        <f t="shared" si="12"/>
        <v>御船</v>
      </c>
      <c r="B226" s="1" t="str">
        <f>"さかた耳鼻咽喉科"</f>
        <v>さかた耳鼻咽喉科</v>
      </c>
      <c r="C226" s="1" t="str">
        <f>"861-3101"</f>
        <v>861-3101</v>
      </c>
      <c r="D226" s="1" t="s">
        <v>341</v>
      </c>
      <c r="E226" s="1" t="str">
        <f>"0962374133    "</f>
        <v xml:space="preserve">0962374133    </v>
      </c>
      <c r="F226" s="1" t="str">
        <f>"医療法人社団　坂田会"</f>
        <v>医療法人社団　坂田会</v>
      </c>
      <c r="G226" s="1" t="str">
        <f>"H16.03.17"</f>
        <v>H16.03.17</v>
      </c>
      <c r="H226" s="1" t="str">
        <f t="shared" si="13"/>
        <v>開設中</v>
      </c>
      <c r="I226" s="1">
        <v>0</v>
      </c>
      <c r="J226" s="1">
        <v>0</v>
      </c>
      <c r="K226" s="1">
        <v>0</v>
      </c>
      <c r="L226" s="2"/>
      <c r="M226" s="2"/>
      <c r="N226" s="2"/>
      <c r="O226" s="2"/>
      <c r="P226" s="2"/>
      <c r="Q226" s="2"/>
      <c r="R226" s="2"/>
      <c r="S226" s="2"/>
      <c r="T226" s="2"/>
      <c r="U226" s="2">
        <v>1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>
        <v>1</v>
      </c>
      <c r="AP226" s="2">
        <v>1</v>
      </c>
      <c r="AQ226" s="2"/>
      <c r="AR226" s="2"/>
      <c r="AS226" s="2"/>
      <c r="AT226" s="2"/>
      <c r="AU226" s="2"/>
      <c r="AV226" s="2"/>
      <c r="AW226" s="2"/>
      <c r="AX226" s="1"/>
    </row>
    <row r="227" spans="1:50" x14ac:dyDescent="0.4">
      <c r="A227" s="1" t="str">
        <f t="shared" si="12"/>
        <v>御船</v>
      </c>
      <c r="B227" s="1" t="str">
        <f>"たなか内科眼科"</f>
        <v>たなか内科眼科</v>
      </c>
      <c r="C227" s="1" t="str">
        <f>"861-3101"</f>
        <v>861-3101</v>
      </c>
      <c r="D227" s="1" t="s">
        <v>342</v>
      </c>
      <c r="E227" s="1" t="str">
        <f>"0962357235    "</f>
        <v xml:space="preserve">0962357235    </v>
      </c>
      <c r="F227" s="1" t="str">
        <f>"医療法人社団　みどり会"</f>
        <v>医療法人社団　みどり会</v>
      </c>
      <c r="G227" s="1" t="str">
        <f>"H14.01.07"</f>
        <v>H14.01.07</v>
      </c>
      <c r="H227" s="1" t="str">
        <f t="shared" si="13"/>
        <v>開設中</v>
      </c>
      <c r="I227" s="1">
        <v>0</v>
      </c>
      <c r="J227" s="1">
        <v>0</v>
      </c>
      <c r="K227" s="1">
        <v>0</v>
      </c>
      <c r="L227" s="2">
        <v>1</v>
      </c>
      <c r="M227" s="2"/>
      <c r="N227" s="2"/>
      <c r="O227" s="2"/>
      <c r="P227" s="2"/>
      <c r="Q227" s="2">
        <v>1</v>
      </c>
      <c r="R227" s="2"/>
      <c r="S227" s="2"/>
      <c r="T227" s="2"/>
      <c r="U227" s="2">
        <v>1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>
        <v>1</v>
      </c>
      <c r="AO227" s="2"/>
      <c r="AP227" s="2"/>
      <c r="AQ227" s="2"/>
      <c r="AR227" s="2"/>
      <c r="AS227" s="2"/>
      <c r="AT227" s="2"/>
      <c r="AU227" s="2"/>
      <c r="AV227" s="2"/>
      <c r="AW227" s="2"/>
      <c r="AX227" s="1"/>
    </row>
    <row r="228" spans="1:50" x14ac:dyDescent="0.4">
      <c r="A228" s="1" t="str">
        <f t="shared" si="12"/>
        <v>御船</v>
      </c>
      <c r="B228" s="1" t="str">
        <f>"特別養護老人ホーム　康寿苑"</f>
        <v>特別養護老人ホーム　康寿苑</v>
      </c>
      <c r="C228" s="1" t="str">
        <f>"861-3104"</f>
        <v>861-3104</v>
      </c>
      <c r="D228" s="1" t="s">
        <v>343</v>
      </c>
      <c r="E228" s="1" t="str">
        <f>"0962373001    "</f>
        <v xml:space="preserve">0962373001    </v>
      </c>
      <c r="F228" s="1" t="str">
        <f>"社会福祉法人　嘉悠会"</f>
        <v>社会福祉法人　嘉悠会</v>
      </c>
      <c r="G228" s="1" t="str">
        <f>"H07.04.01"</f>
        <v>H07.04.01</v>
      </c>
      <c r="H228" s="1" t="str">
        <f t="shared" si="13"/>
        <v>開設中</v>
      </c>
      <c r="I228" s="1">
        <v>0</v>
      </c>
      <c r="J228" s="1">
        <v>0</v>
      </c>
      <c r="K228" s="1">
        <v>0</v>
      </c>
      <c r="L228" s="2">
        <v>1</v>
      </c>
      <c r="M228" s="2"/>
      <c r="N228" s="2"/>
      <c r="O228" s="2"/>
      <c r="P228" s="2"/>
      <c r="Q228" s="2"/>
      <c r="R228" s="2">
        <v>1</v>
      </c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>
        <v>1</v>
      </c>
      <c r="AR228" s="2"/>
      <c r="AS228" s="2"/>
      <c r="AT228" s="2"/>
      <c r="AU228" s="2"/>
      <c r="AV228" s="2"/>
      <c r="AW228" s="2"/>
      <c r="AX228" s="1"/>
    </row>
    <row r="229" spans="1:50" x14ac:dyDescent="0.4">
      <c r="A229" s="1" t="str">
        <f t="shared" si="12"/>
        <v>御船</v>
      </c>
      <c r="B229" s="1" t="str">
        <f>"山地外科胃腸科医院"</f>
        <v>山地外科胃腸科医院</v>
      </c>
      <c r="C229" s="1" t="str">
        <f>"861-3106"</f>
        <v>861-3106</v>
      </c>
      <c r="D229" s="1" t="s">
        <v>344</v>
      </c>
      <c r="E229" s="1" t="str">
        <f>"0962370003    "</f>
        <v xml:space="preserve">0962370003    </v>
      </c>
      <c r="F229" s="1" t="str">
        <f>"医療法人社団　五代会"</f>
        <v>医療法人社団　五代会</v>
      </c>
      <c r="G229" s="1" t="str">
        <f>"H03.07.01"</f>
        <v>H03.07.01</v>
      </c>
      <c r="H229" s="1" t="str">
        <f t="shared" si="13"/>
        <v>開設中</v>
      </c>
      <c r="I229" s="1">
        <v>0</v>
      </c>
      <c r="J229" s="1">
        <v>0</v>
      </c>
      <c r="K229" s="1">
        <v>0</v>
      </c>
      <c r="L229" s="2">
        <v>1</v>
      </c>
      <c r="M229" s="2"/>
      <c r="N229" s="2"/>
      <c r="O229" s="2"/>
      <c r="P229" s="2"/>
      <c r="Q229" s="2"/>
      <c r="R229" s="2"/>
      <c r="S229" s="2">
        <v>1</v>
      </c>
      <c r="T229" s="2">
        <v>1</v>
      </c>
      <c r="U229" s="2"/>
      <c r="V229" s="2"/>
      <c r="W229" s="2"/>
      <c r="X229" s="2">
        <v>1</v>
      </c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1"/>
    </row>
    <row r="230" spans="1:50" x14ac:dyDescent="0.4">
      <c r="A230" s="1" t="str">
        <f t="shared" si="12"/>
        <v>御船</v>
      </c>
      <c r="B230" s="1" t="str">
        <f>"おがた整形外科"</f>
        <v>おがた整形外科</v>
      </c>
      <c r="C230" s="1" t="str">
        <f>"861-2235"</f>
        <v>861-2235</v>
      </c>
      <c r="D230" s="1" t="s">
        <v>345</v>
      </c>
      <c r="E230" s="1" t="str">
        <f>"0962893301    "</f>
        <v xml:space="preserve">0962893301    </v>
      </c>
      <c r="F230" s="1" t="str">
        <f>"医療法人　福富会"</f>
        <v>医療法人　福富会</v>
      </c>
      <c r="G230" s="1" t="str">
        <f>"H13.12.01"</f>
        <v>H13.12.01</v>
      </c>
      <c r="H230" s="1" t="str">
        <f t="shared" si="13"/>
        <v>開設中</v>
      </c>
      <c r="I230" s="1">
        <v>0</v>
      </c>
      <c r="J230" s="1">
        <v>0</v>
      </c>
      <c r="K230" s="1">
        <v>0</v>
      </c>
      <c r="L230" s="2">
        <v>1</v>
      </c>
      <c r="M230" s="2"/>
      <c r="N230" s="2"/>
      <c r="O230" s="2"/>
      <c r="P230" s="2"/>
      <c r="Q230" s="2"/>
      <c r="R230" s="2"/>
      <c r="S230" s="2"/>
      <c r="T230" s="2"/>
      <c r="U230" s="2"/>
      <c r="V230" s="2">
        <v>1</v>
      </c>
      <c r="W230" s="2"/>
      <c r="X230" s="2"/>
      <c r="Y230" s="2">
        <v>1</v>
      </c>
      <c r="Z230" s="2">
        <v>1</v>
      </c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>
        <v>1</v>
      </c>
      <c r="AR230" s="2"/>
      <c r="AS230" s="2"/>
      <c r="AT230" s="2"/>
      <c r="AU230" s="2"/>
      <c r="AV230" s="2"/>
      <c r="AW230" s="2">
        <v>1</v>
      </c>
      <c r="AX230" s="1" t="s">
        <v>73</v>
      </c>
    </row>
    <row r="231" spans="1:50" x14ac:dyDescent="0.4">
      <c r="A231" s="1" t="str">
        <f t="shared" si="12"/>
        <v>御船</v>
      </c>
      <c r="B231" s="1" t="str">
        <f>"株式会社ISEKI　M&amp;D診療所"</f>
        <v>株式会社ISEKI　M&amp;D診療所</v>
      </c>
      <c r="C231" s="1" t="str">
        <f>"861-2231"</f>
        <v>861-2231</v>
      </c>
      <c r="D231" s="1" t="s">
        <v>346</v>
      </c>
      <c r="E231" s="1" t="str">
        <f>"0962865515    "</f>
        <v xml:space="preserve">0962865515    </v>
      </c>
      <c r="F231" s="1" t="str">
        <f>"株式会社ISEKI　M&amp;D"</f>
        <v>株式会社ISEKI　M&amp;D</v>
      </c>
      <c r="G231" s="1" t="str">
        <f>"S50.09.18"</f>
        <v>S50.09.18</v>
      </c>
      <c r="H231" s="1" t="str">
        <f t="shared" si="13"/>
        <v>開設中</v>
      </c>
      <c r="I231" s="1">
        <v>0</v>
      </c>
      <c r="J231" s="1">
        <v>0</v>
      </c>
      <c r="K231" s="1">
        <v>0</v>
      </c>
      <c r="L231" s="2">
        <v>1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1"/>
    </row>
    <row r="232" spans="1:50" x14ac:dyDescent="0.4">
      <c r="A232" s="1" t="str">
        <f t="shared" si="12"/>
        <v>御船</v>
      </c>
      <c r="B232" s="1" t="str">
        <f>"高本脳神経外科医院"</f>
        <v>高本脳神経外科医院</v>
      </c>
      <c r="C232" s="1" t="str">
        <f>"861-2233"</f>
        <v>861-2233</v>
      </c>
      <c r="D232" s="1" t="s">
        <v>347</v>
      </c>
      <c r="E232" s="1" t="str">
        <f>"0962890088    "</f>
        <v xml:space="preserve">0962890088    </v>
      </c>
      <c r="F232" s="1" t="str">
        <f>"医療法人　赤髭会"</f>
        <v>医療法人　赤髭会</v>
      </c>
      <c r="G232" s="1" t="str">
        <f>"H11.12.01"</f>
        <v>H11.12.01</v>
      </c>
      <c r="H232" s="1" t="str">
        <f t="shared" si="13"/>
        <v>開設中</v>
      </c>
      <c r="I232" s="1">
        <v>0</v>
      </c>
      <c r="J232" s="1">
        <v>0</v>
      </c>
      <c r="K232" s="1">
        <v>0</v>
      </c>
      <c r="L232" s="2">
        <v>1</v>
      </c>
      <c r="M232" s="2"/>
      <c r="N232" s="2"/>
      <c r="O232" s="2"/>
      <c r="P232" s="2">
        <v>1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>
        <v>1</v>
      </c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1"/>
    </row>
    <row r="233" spans="1:50" x14ac:dyDescent="0.4">
      <c r="A233" s="1" t="str">
        <f t="shared" si="12"/>
        <v>御船</v>
      </c>
      <c r="B233" s="1" t="str">
        <f>"砥川クリニック"</f>
        <v>砥川クリニック</v>
      </c>
      <c r="C233" s="1" t="str">
        <f>"861-2222"</f>
        <v>861-2222</v>
      </c>
      <c r="D233" s="1" t="s">
        <v>348</v>
      </c>
      <c r="E233" s="1" t="str">
        <f>"0962865770    "</f>
        <v xml:space="preserve">0962865770    </v>
      </c>
      <c r="F233" s="1" t="str">
        <f>"壬生　保博"</f>
        <v>壬生　保博</v>
      </c>
      <c r="G233" s="1" t="str">
        <f>"H10.11.09"</f>
        <v>H10.11.09</v>
      </c>
      <c r="H233" s="1" t="str">
        <f t="shared" si="13"/>
        <v>開設中</v>
      </c>
      <c r="I233" s="1">
        <v>0</v>
      </c>
      <c r="J233" s="1">
        <v>0</v>
      </c>
      <c r="K233" s="1">
        <v>0</v>
      </c>
      <c r="L233" s="2">
        <v>1</v>
      </c>
      <c r="M233" s="2"/>
      <c r="N233" s="2"/>
      <c r="O233" s="2"/>
      <c r="P233" s="2"/>
      <c r="Q233" s="2"/>
      <c r="R233" s="2"/>
      <c r="S233" s="2">
        <v>1</v>
      </c>
      <c r="T233" s="2"/>
      <c r="U233" s="2"/>
      <c r="V233" s="2"/>
      <c r="W233" s="2"/>
      <c r="X233" s="2">
        <v>1</v>
      </c>
      <c r="Y233" s="2"/>
      <c r="Z233" s="2"/>
      <c r="AA233" s="2"/>
      <c r="AB233" s="2"/>
      <c r="AC233" s="2"/>
      <c r="AD233" s="2"/>
      <c r="AE233" s="2"/>
      <c r="AF233" s="2"/>
      <c r="AG233" s="2">
        <v>1</v>
      </c>
      <c r="AH233" s="2"/>
      <c r="AI233" s="2"/>
      <c r="AJ233" s="2"/>
      <c r="AK233" s="2"/>
      <c r="AL233" s="2"/>
      <c r="AM233" s="2"/>
      <c r="AN233" s="2"/>
      <c r="AO233" s="2"/>
      <c r="AP233" s="2"/>
      <c r="AQ233" s="2">
        <v>1</v>
      </c>
      <c r="AR233" s="2"/>
      <c r="AS233" s="2"/>
      <c r="AT233" s="2"/>
      <c r="AU233" s="2"/>
      <c r="AV233" s="2"/>
      <c r="AW233" s="2">
        <v>1</v>
      </c>
      <c r="AX233" s="1"/>
    </row>
    <row r="234" spans="1:50" x14ac:dyDescent="0.4">
      <c r="A234" s="1" t="str">
        <f t="shared" si="12"/>
        <v>御船</v>
      </c>
      <c r="B234" s="1" t="str">
        <f>"ふくだ整形外科"</f>
        <v>ふくだ整形外科</v>
      </c>
      <c r="C234" s="1" t="str">
        <f>"861-2232"</f>
        <v>861-2232</v>
      </c>
      <c r="D234" s="1" t="s">
        <v>349</v>
      </c>
      <c r="E234" s="1" t="str">
        <f>"0962867391    "</f>
        <v xml:space="preserve">0962867391    </v>
      </c>
      <c r="F234" s="1" t="str">
        <f>"医療法人社団　福田会"</f>
        <v>医療法人社団　福田会</v>
      </c>
      <c r="G234" s="1" t="str">
        <f>"H05.07.01"</f>
        <v>H05.07.01</v>
      </c>
      <c r="H234" s="1" t="str">
        <f t="shared" si="13"/>
        <v>開設中</v>
      </c>
      <c r="I234" s="1">
        <v>0</v>
      </c>
      <c r="J234" s="1">
        <v>0</v>
      </c>
      <c r="K234" s="1">
        <v>0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>
        <v>1</v>
      </c>
      <c r="W234" s="2"/>
      <c r="X234" s="2"/>
      <c r="Y234" s="2">
        <v>1</v>
      </c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>
        <v>1</v>
      </c>
      <c r="AR234" s="2"/>
      <c r="AS234" s="2"/>
      <c r="AT234" s="2"/>
      <c r="AU234" s="2"/>
      <c r="AV234" s="2"/>
      <c r="AW234" s="2"/>
      <c r="AX234" s="1"/>
    </row>
    <row r="235" spans="1:50" x14ac:dyDescent="0.4">
      <c r="A235" s="1" t="str">
        <f t="shared" si="12"/>
        <v>御船</v>
      </c>
      <c r="B235" s="1" t="str">
        <f>"益城整形外科"</f>
        <v>益城整形外科</v>
      </c>
      <c r="C235" s="1" t="str">
        <f>"861-2231"</f>
        <v>861-2231</v>
      </c>
      <c r="D235" s="1" t="s">
        <v>350</v>
      </c>
      <c r="E235" s="1" t="str">
        <f>"0962861818    "</f>
        <v xml:space="preserve">0962861818    </v>
      </c>
      <c r="F235" s="1" t="str">
        <f>"医療法人　益城整形外科"</f>
        <v>医療法人　益城整形外科</v>
      </c>
      <c r="G235" s="1" t="str">
        <f>"H09.03.01"</f>
        <v>H09.03.01</v>
      </c>
      <c r="H235" s="1" t="str">
        <f t="shared" si="13"/>
        <v>開設中</v>
      </c>
      <c r="I235" s="1">
        <v>0</v>
      </c>
      <c r="J235" s="1">
        <v>0</v>
      </c>
      <c r="K235" s="1">
        <v>0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>
        <v>1</v>
      </c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>
        <v>1</v>
      </c>
      <c r="AR235" s="2"/>
      <c r="AS235" s="2"/>
      <c r="AT235" s="2"/>
      <c r="AU235" s="2"/>
      <c r="AV235" s="2"/>
      <c r="AW235" s="2"/>
      <c r="AX235" s="1"/>
    </row>
    <row r="236" spans="1:50" x14ac:dyDescent="0.4">
      <c r="A236" s="1" t="str">
        <f t="shared" si="12"/>
        <v>御船</v>
      </c>
      <c r="B236" s="1" t="str">
        <f>"特別養護老人ホーム　桜の丘"</f>
        <v>特別養護老人ホーム　桜の丘</v>
      </c>
      <c r="C236" s="1" t="str">
        <f>"861-4609"</f>
        <v>861-4609</v>
      </c>
      <c r="D236" s="1" t="s">
        <v>351</v>
      </c>
      <c r="E236" s="1" t="str">
        <f>"0962341191    "</f>
        <v xml:space="preserve">0962341191    </v>
      </c>
      <c r="F236" s="1" t="str">
        <f>"社会福祉法人　綾友会"</f>
        <v>社会福祉法人　綾友会</v>
      </c>
      <c r="G236" s="1" t="str">
        <f>"S60.04.01"</f>
        <v>S60.04.01</v>
      </c>
      <c r="H236" s="1" t="str">
        <f t="shared" si="13"/>
        <v>開設中</v>
      </c>
      <c r="I236" s="1">
        <v>0</v>
      </c>
      <c r="J236" s="1">
        <v>0</v>
      </c>
      <c r="K236" s="1">
        <v>0</v>
      </c>
      <c r="L236" s="2">
        <v>1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1"/>
    </row>
    <row r="237" spans="1:50" x14ac:dyDescent="0.4">
      <c r="A237" s="1" t="str">
        <f t="shared" si="12"/>
        <v>御船</v>
      </c>
      <c r="B237" s="1" t="str">
        <f>"高田整形外科クリニック"</f>
        <v>高田整形外科クリニック</v>
      </c>
      <c r="C237" s="1" t="str">
        <f>"861-3515"</f>
        <v>861-3515</v>
      </c>
      <c r="D237" s="1" t="s">
        <v>352</v>
      </c>
      <c r="E237" s="1" t="str">
        <f>"0967721007    "</f>
        <v xml:space="preserve">0967721007    </v>
      </c>
      <c r="F237" s="1" t="str">
        <f>"医療法人　高田会"</f>
        <v>医療法人　高田会</v>
      </c>
      <c r="G237" s="1" t="str">
        <f>"H14.07.16"</f>
        <v>H14.07.16</v>
      </c>
      <c r="H237" s="1" t="str">
        <f t="shared" si="13"/>
        <v>開設中</v>
      </c>
      <c r="I237" s="1">
        <v>0</v>
      </c>
      <c r="J237" s="1">
        <v>0</v>
      </c>
      <c r="K237" s="1">
        <v>0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>
        <v>1</v>
      </c>
      <c r="W237" s="2"/>
      <c r="X237" s="2"/>
      <c r="Y237" s="2">
        <v>1</v>
      </c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>
        <v>1</v>
      </c>
      <c r="AR237" s="2"/>
      <c r="AS237" s="2"/>
      <c r="AT237" s="2"/>
      <c r="AU237" s="2"/>
      <c r="AV237" s="2"/>
      <c r="AW237" s="2"/>
      <c r="AX237" s="1"/>
    </row>
    <row r="238" spans="1:50" x14ac:dyDescent="0.4">
      <c r="A238" s="1" t="str">
        <f t="shared" si="12"/>
        <v>御船</v>
      </c>
      <c r="B238" s="1" t="str">
        <f>"野田医院"</f>
        <v>野田医院</v>
      </c>
      <c r="C238" s="1" t="str">
        <f>"861-3518"</f>
        <v>861-3518</v>
      </c>
      <c r="D238" s="1" t="s">
        <v>353</v>
      </c>
      <c r="E238" s="1" t="str">
        <f>"0967720307    "</f>
        <v xml:space="preserve">0967720307    </v>
      </c>
      <c r="F238" s="1" t="str">
        <f>"医療法人社団　皆晴会"</f>
        <v>医療法人社団　皆晴会</v>
      </c>
      <c r="G238" s="1" t="str">
        <f>"H05.10.01"</f>
        <v>H05.10.01</v>
      </c>
      <c r="H238" s="1" t="str">
        <f t="shared" si="13"/>
        <v>開設中</v>
      </c>
      <c r="I238" s="1">
        <v>8</v>
      </c>
      <c r="J238" s="1">
        <v>8</v>
      </c>
      <c r="K238" s="1">
        <v>0</v>
      </c>
      <c r="L238" s="2">
        <v>1</v>
      </c>
      <c r="M238" s="2"/>
      <c r="N238" s="2"/>
      <c r="O238" s="2"/>
      <c r="P238" s="2"/>
      <c r="Q238" s="2"/>
      <c r="R238" s="2">
        <v>1</v>
      </c>
      <c r="S238" s="2"/>
      <c r="T238" s="2"/>
      <c r="U238" s="2"/>
      <c r="V238" s="2"/>
      <c r="W238" s="2">
        <v>1</v>
      </c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1"/>
    </row>
    <row r="239" spans="1:50" x14ac:dyDescent="0.4">
      <c r="A239" s="1" t="str">
        <f t="shared" si="12"/>
        <v>御船</v>
      </c>
      <c r="B239" s="1" t="str">
        <f>"矢部大矢荘診療所"</f>
        <v>矢部大矢荘診療所</v>
      </c>
      <c r="C239" s="1" t="str">
        <f>"861-3455"</f>
        <v>861-3455</v>
      </c>
      <c r="D239" s="1" t="s">
        <v>354</v>
      </c>
      <c r="E239" s="1" t="str">
        <f>"0967750333    "</f>
        <v xml:space="preserve">0967750333    </v>
      </c>
      <c r="F239" s="1" t="str">
        <f>"社会福祉法人　蘇南会"</f>
        <v>社会福祉法人　蘇南会</v>
      </c>
      <c r="G239" s="1" t="str">
        <f>"S51.04.05"</f>
        <v>S51.04.05</v>
      </c>
      <c r="H239" s="1" t="str">
        <f t="shared" si="13"/>
        <v>開設中</v>
      </c>
      <c r="I239" s="1">
        <v>0</v>
      </c>
      <c r="J239" s="1">
        <v>0</v>
      </c>
      <c r="K239" s="1">
        <v>0</v>
      </c>
      <c r="L239" s="2">
        <v>1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1"/>
    </row>
    <row r="240" spans="1:50" x14ac:dyDescent="0.4">
      <c r="A240" s="1" t="str">
        <f t="shared" si="12"/>
        <v>御船</v>
      </c>
      <c r="B240" s="1" t="str">
        <f>"井無田へき地診療所"</f>
        <v>井無田へき地診療所</v>
      </c>
      <c r="C240" s="1" t="str">
        <f>"861-3832"</f>
        <v>861-3832</v>
      </c>
      <c r="D240" s="1" t="s">
        <v>355</v>
      </c>
      <c r="E240" s="1" t="str">
        <f>"0967822881    "</f>
        <v xml:space="preserve">0967822881    </v>
      </c>
      <c r="F240" s="1" t="str">
        <f>"山都町"</f>
        <v>山都町</v>
      </c>
      <c r="G240" s="1" t="str">
        <f>"H17.02.11"</f>
        <v>H17.02.11</v>
      </c>
      <c r="H240" s="1" t="str">
        <f t="shared" si="13"/>
        <v>開設中</v>
      </c>
      <c r="I240" s="1">
        <v>0</v>
      </c>
      <c r="J240" s="1">
        <v>0</v>
      </c>
      <c r="K240" s="1">
        <v>0</v>
      </c>
      <c r="L240" s="2">
        <v>1</v>
      </c>
      <c r="M240" s="2">
        <v>1</v>
      </c>
      <c r="N240" s="2">
        <v>1</v>
      </c>
      <c r="O240" s="2"/>
      <c r="P240" s="2"/>
      <c r="Q240" s="2"/>
      <c r="R240" s="2"/>
      <c r="S240" s="2"/>
      <c r="T240" s="2"/>
      <c r="U240" s="2"/>
      <c r="V240" s="2"/>
      <c r="W240" s="2"/>
      <c r="X240" s="2">
        <v>1</v>
      </c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1"/>
    </row>
    <row r="241" spans="1:50" x14ac:dyDescent="0.4">
      <c r="A241" s="1" t="str">
        <f t="shared" si="12"/>
        <v>御船</v>
      </c>
      <c r="B241" s="1" t="str">
        <f>"北部へき地診療所"</f>
        <v>北部へき地診療所</v>
      </c>
      <c r="C241" s="1" t="str">
        <f>"861-3935"</f>
        <v>861-3935</v>
      </c>
      <c r="D241" s="1" t="s">
        <v>356</v>
      </c>
      <c r="E241" s="1" t="str">
        <f>"0967850204    "</f>
        <v xml:space="preserve">0967850204    </v>
      </c>
      <c r="F241" s="1" t="str">
        <f>"山都町"</f>
        <v>山都町</v>
      </c>
      <c r="G241" s="1" t="str">
        <f>"H17.02.11"</f>
        <v>H17.02.11</v>
      </c>
      <c r="H241" s="1" t="str">
        <f t="shared" si="13"/>
        <v>開設中</v>
      </c>
      <c r="I241" s="1">
        <v>0</v>
      </c>
      <c r="J241" s="1">
        <v>0</v>
      </c>
      <c r="K241" s="1">
        <v>0</v>
      </c>
      <c r="L241" s="2">
        <v>1</v>
      </c>
      <c r="M241" s="2">
        <v>1</v>
      </c>
      <c r="N241" s="2">
        <v>1</v>
      </c>
      <c r="O241" s="2"/>
      <c r="P241" s="2"/>
      <c r="Q241" s="2"/>
      <c r="R241" s="2"/>
      <c r="S241" s="2"/>
      <c r="T241" s="2"/>
      <c r="U241" s="2"/>
      <c r="V241" s="2"/>
      <c r="W241" s="2"/>
      <c r="X241" s="2">
        <v>1</v>
      </c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1"/>
    </row>
    <row r="242" spans="1:50" x14ac:dyDescent="0.4">
      <c r="A242" s="1" t="str">
        <f t="shared" si="12"/>
        <v>御船</v>
      </c>
      <c r="B242" s="1" t="str">
        <f>"特別養護老人ホーム　蘇望苑診療所"</f>
        <v>特別養護老人ホーム　蘇望苑診療所</v>
      </c>
      <c r="C242" s="1" t="str">
        <f>"861-3902"</f>
        <v>861-3902</v>
      </c>
      <c r="D242" s="1" t="s">
        <v>357</v>
      </c>
      <c r="E242" s="1" t="str">
        <f>"0967830870    "</f>
        <v xml:space="preserve">0967830870    </v>
      </c>
      <c r="F242" s="1" t="str">
        <f>"社会福祉法人  蘇清会"</f>
        <v>社会福祉法人  蘇清会</v>
      </c>
      <c r="G242" s="1" t="str">
        <f>"H05.05.06"</f>
        <v>H05.05.06</v>
      </c>
      <c r="H242" s="1" t="str">
        <f t="shared" si="13"/>
        <v>開設中</v>
      </c>
      <c r="I242" s="1">
        <v>0</v>
      </c>
      <c r="J242" s="1">
        <v>0</v>
      </c>
      <c r="K242" s="1">
        <v>0</v>
      </c>
      <c r="L242" s="2">
        <v>1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>
        <v>1</v>
      </c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1"/>
    </row>
    <row r="243" spans="1:50" x14ac:dyDescent="0.4">
      <c r="A243" s="1" t="str">
        <f t="shared" si="12"/>
        <v>御船</v>
      </c>
      <c r="B243" s="1" t="str">
        <f>"しばた眼科"</f>
        <v>しばた眼科</v>
      </c>
      <c r="C243" s="1" t="str">
        <f>"861-3106"</f>
        <v>861-3106</v>
      </c>
      <c r="D243" s="1" t="s">
        <v>358</v>
      </c>
      <c r="E243" s="1" t="str">
        <f>"0962352246    "</f>
        <v xml:space="preserve">0962352246    </v>
      </c>
      <c r="F243" s="1" t="str">
        <f>"柴田　大史"</f>
        <v>柴田　大史</v>
      </c>
      <c r="G243" s="1" t="str">
        <f>"H18.01.17"</f>
        <v>H18.01.17</v>
      </c>
      <c r="H243" s="1" t="str">
        <f t="shared" si="13"/>
        <v>開設中</v>
      </c>
      <c r="I243" s="1">
        <v>0</v>
      </c>
      <c r="J243" s="1">
        <v>0</v>
      </c>
      <c r="K243" s="1">
        <v>0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>
        <v>1</v>
      </c>
      <c r="AO243" s="2"/>
      <c r="AP243" s="2"/>
      <c r="AQ243" s="2"/>
      <c r="AR243" s="2"/>
      <c r="AS243" s="2"/>
      <c r="AT243" s="2"/>
      <c r="AU243" s="2"/>
      <c r="AV243" s="2"/>
      <c r="AW243" s="2"/>
      <c r="AX243" s="1"/>
    </row>
    <row r="244" spans="1:50" x14ac:dyDescent="0.4">
      <c r="A244" s="1" t="str">
        <f t="shared" si="12"/>
        <v>御船</v>
      </c>
      <c r="B244" s="1" t="str">
        <f>"からしま小児科"</f>
        <v>からしま小児科</v>
      </c>
      <c r="C244" s="1" t="str">
        <f>"861-3106"</f>
        <v>861-3106</v>
      </c>
      <c r="D244" s="1" t="s">
        <v>359</v>
      </c>
      <c r="E244" s="1" t="str">
        <f>"0962356333    "</f>
        <v xml:space="preserve">0962356333    </v>
      </c>
      <c r="F244" s="1" t="str">
        <f>"辛嶋　眞如"</f>
        <v>辛嶋　眞如</v>
      </c>
      <c r="G244" s="1" t="str">
        <f>"H19.03.15"</f>
        <v>H19.03.15</v>
      </c>
      <c r="H244" s="1" t="str">
        <f t="shared" si="13"/>
        <v>開設中</v>
      </c>
      <c r="I244" s="1">
        <v>0</v>
      </c>
      <c r="J244" s="1">
        <v>0</v>
      </c>
      <c r="K244" s="1">
        <v>0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>
        <v>1</v>
      </c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1"/>
    </row>
    <row r="245" spans="1:50" x14ac:dyDescent="0.4">
      <c r="A245" s="1" t="str">
        <f t="shared" si="12"/>
        <v>御船</v>
      </c>
      <c r="B245" s="1" t="str">
        <f>"香田整形外科・内科"</f>
        <v>香田整形外科・内科</v>
      </c>
      <c r="C245" s="1" t="str">
        <f>"861-3104"</f>
        <v>861-3104</v>
      </c>
      <c r="D245" s="1" t="s">
        <v>360</v>
      </c>
      <c r="E245" s="1" t="str">
        <f>"0962372811    "</f>
        <v xml:space="preserve">0962372811    </v>
      </c>
      <c r="F245" s="1" t="str">
        <f>"医療法人　香和会"</f>
        <v>医療法人　香和会</v>
      </c>
      <c r="G245" s="1" t="str">
        <f>"H19.05.01"</f>
        <v>H19.05.01</v>
      </c>
      <c r="H245" s="1" t="str">
        <f t="shared" si="13"/>
        <v>開設中</v>
      </c>
      <c r="I245" s="1">
        <v>19</v>
      </c>
      <c r="J245" s="1">
        <v>19</v>
      </c>
      <c r="K245" s="1">
        <v>0</v>
      </c>
      <c r="L245" s="2">
        <v>1</v>
      </c>
      <c r="M245" s="2"/>
      <c r="N245" s="2"/>
      <c r="O245" s="2"/>
      <c r="P245" s="2"/>
      <c r="Q245" s="2"/>
      <c r="R245" s="2"/>
      <c r="S245" s="2"/>
      <c r="T245" s="2"/>
      <c r="U245" s="2"/>
      <c r="V245" s="2">
        <v>1</v>
      </c>
      <c r="W245" s="2"/>
      <c r="X245" s="2"/>
      <c r="Y245" s="2">
        <v>1</v>
      </c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>
        <v>1</v>
      </c>
      <c r="AR245" s="2"/>
      <c r="AS245" s="2"/>
      <c r="AT245" s="2"/>
      <c r="AU245" s="2"/>
      <c r="AV245" s="2"/>
      <c r="AW245" s="2">
        <v>1</v>
      </c>
      <c r="AX245" s="1"/>
    </row>
    <row r="246" spans="1:50" x14ac:dyDescent="0.4">
      <c r="A246" s="1" t="str">
        <f t="shared" si="12"/>
        <v>御船</v>
      </c>
      <c r="B246" s="1" t="str">
        <f>"小屋迫医院"</f>
        <v>小屋迫医院</v>
      </c>
      <c r="C246" s="1" t="str">
        <f>"861-4601"</f>
        <v>861-4601</v>
      </c>
      <c r="D246" s="1" t="s">
        <v>361</v>
      </c>
      <c r="E246" s="1" t="str">
        <f>"0962340165    "</f>
        <v xml:space="preserve">0962340165    </v>
      </c>
      <c r="F246" s="1" t="str">
        <f>"医療法人社団　秀誠会"</f>
        <v>医療法人社団　秀誠会</v>
      </c>
      <c r="G246" s="1" t="str">
        <f>"H19.09.01"</f>
        <v>H19.09.01</v>
      </c>
      <c r="H246" s="1" t="str">
        <f t="shared" si="13"/>
        <v>開設中</v>
      </c>
      <c r="I246" s="1">
        <v>0</v>
      </c>
      <c r="J246" s="1">
        <v>0</v>
      </c>
      <c r="K246" s="1">
        <v>0</v>
      </c>
      <c r="L246" s="2">
        <v>1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>
        <v>1</v>
      </c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1"/>
    </row>
    <row r="247" spans="1:50" x14ac:dyDescent="0.4">
      <c r="A247" s="1" t="str">
        <f t="shared" si="12"/>
        <v>御船</v>
      </c>
      <c r="B247" s="1" t="str">
        <f>"養護老人ホーム　緑川荘"</f>
        <v>養護老人ホーム　緑川荘</v>
      </c>
      <c r="C247" s="1" t="str">
        <f>"861-4602"</f>
        <v>861-4602</v>
      </c>
      <c r="D247" s="1" t="s">
        <v>362</v>
      </c>
      <c r="E247" s="1" t="str">
        <f>"0962340109    "</f>
        <v xml:space="preserve">0962340109    </v>
      </c>
      <c r="F247" s="1" t="str">
        <f>"社会福祉法人　五色会"</f>
        <v>社会福祉法人　五色会</v>
      </c>
      <c r="G247" s="1" t="str">
        <f>"H21.04.01"</f>
        <v>H21.04.01</v>
      </c>
      <c r="H247" s="1" t="str">
        <f t="shared" si="13"/>
        <v>開設中</v>
      </c>
      <c r="I247" s="1">
        <v>0</v>
      </c>
      <c r="J247" s="1">
        <v>0</v>
      </c>
      <c r="K247" s="1">
        <v>0</v>
      </c>
      <c r="L247" s="2">
        <v>1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>
        <v>1</v>
      </c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1"/>
    </row>
    <row r="248" spans="1:50" x14ac:dyDescent="0.4">
      <c r="A248" s="1" t="str">
        <f t="shared" si="12"/>
        <v>御船</v>
      </c>
      <c r="B248" s="1" t="str">
        <f>"特別養護老人ホーム　花へんろ"</f>
        <v>特別養護老人ホーム　花へんろ</v>
      </c>
      <c r="C248" s="1" t="str">
        <f>"861-2221"</f>
        <v>861-2221</v>
      </c>
      <c r="D248" s="1" t="s">
        <v>363</v>
      </c>
      <c r="E248" s="1" t="str">
        <f>"0962878706    "</f>
        <v xml:space="preserve">0962878706    </v>
      </c>
      <c r="F248" s="1" t="str">
        <f>"社会福祉法人　ましき苑"</f>
        <v>社会福祉法人　ましき苑</v>
      </c>
      <c r="G248" s="1" t="str">
        <f>"H23.04.20"</f>
        <v>H23.04.20</v>
      </c>
      <c r="H248" s="1" t="str">
        <f t="shared" si="13"/>
        <v>開設中</v>
      </c>
      <c r="I248" s="1">
        <v>0</v>
      </c>
      <c r="J248" s="1">
        <v>0</v>
      </c>
      <c r="K248" s="1">
        <v>0</v>
      </c>
      <c r="L248" s="2">
        <v>1</v>
      </c>
      <c r="M248" s="2"/>
      <c r="N248" s="2"/>
      <c r="O248" s="2"/>
      <c r="P248" s="2"/>
      <c r="Q248" s="2"/>
      <c r="R248" s="2"/>
      <c r="S248" s="2">
        <v>1</v>
      </c>
      <c r="T248" s="2">
        <v>1</v>
      </c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1"/>
    </row>
    <row r="249" spans="1:50" x14ac:dyDescent="0.4">
      <c r="A249" s="1" t="str">
        <f t="shared" si="12"/>
        <v>御船</v>
      </c>
      <c r="B249" s="1" t="str">
        <f>"小糸整形外科"</f>
        <v>小糸整形外科</v>
      </c>
      <c r="C249" s="1" t="str">
        <f>"861-3205"</f>
        <v>861-3205</v>
      </c>
      <c r="D249" s="1" t="s">
        <v>364</v>
      </c>
      <c r="E249" s="1" t="str">
        <f>"0962820050    "</f>
        <v xml:space="preserve">0962820050    </v>
      </c>
      <c r="F249" s="1" t="str">
        <f>"医療法人社団　博倫会"</f>
        <v>医療法人社団　博倫会</v>
      </c>
      <c r="G249" s="1" t="str">
        <f>"H24.09.01"</f>
        <v>H24.09.01</v>
      </c>
      <c r="H249" s="1" t="str">
        <f t="shared" si="13"/>
        <v>開設中</v>
      </c>
      <c r="I249" s="1">
        <v>19</v>
      </c>
      <c r="J249" s="1">
        <v>19</v>
      </c>
      <c r="K249" s="1">
        <v>0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>
        <v>1</v>
      </c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>
        <v>1</v>
      </c>
      <c r="AR249" s="2"/>
      <c r="AS249" s="2"/>
      <c r="AT249" s="2"/>
      <c r="AU249" s="2"/>
      <c r="AV249" s="2"/>
      <c r="AW249" s="2"/>
      <c r="AX249" s="1"/>
    </row>
    <row r="250" spans="1:50" x14ac:dyDescent="0.4">
      <c r="A250" s="1" t="str">
        <f t="shared" si="12"/>
        <v>御船</v>
      </c>
      <c r="B250" s="1" t="str">
        <f>"特別養護老人ホーム　風ノ木"</f>
        <v>特別養護老人ホーム　風ノ木</v>
      </c>
      <c r="C250" s="1" t="str">
        <f>"861-3516"</f>
        <v>861-3516</v>
      </c>
      <c r="D250" s="1" t="s">
        <v>365</v>
      </c>
      <c r="E250" s="1" t="str">
        <f>"0967723401    "</f>
        <v xml:space="preserve">0967723401    </v>
      </c>
      <c r="F250" s="1" t="str">
        <f>"社会福祉法人　徳生会"</f>
        <v>社会福祉法人　徳生会</v>
      </c>
      <c r="G250" s="1" t="str">
        <f>"H24.05.01"</f>
        <v>H24.05.01</v>
      </c>
      <c r="H250" s="1" t="str">
        <f t="shared" si="13"/>
        <v>開設中</v>
      </c>
      <c r="I250" s="1">
        <v>0</v>
      </c>
      <c r="J250" s="1">
        <v>0</v>
      </c>
      <c r="K250" s="1">
        <v>0</v>
      </c>
      <c r="L250" s="2">
        <v>1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1"/>
    </row>
    <row r="251" spans="1:50" x14ac:dyDescent="0.4">
      <c r="A251" s="1" t="str">
        <f t="shared" ref="A251:A279" si="14">"御船"</f>
        <v>御船</v>
      </c>
      <c r="B251" s="1" t="str">
        <f>"特別養護老人ホーム悠優かしま"</f>
        <v>特別養護老人ホーム悠優かしま</v>
      </c>
      <c r="C251" s="1" t="str">
        <f>"861-3107"</f>
        <v>861-3107</v>
      </c>
      <c r="D251" s="1" t="s">
        <v>366</v>
      </c>
      <c r="E251" s="1" t="str">
        <f>"0962352301    "</f>
        <v xml:space="preserve">0962352301    </v>
      </c>
      <c r="F251" s="1" t="str">
        <f>"社会福祉法人　千寿会"</f>
        <v>社会福祉法人　千寿会</v>
      </c>
      <c r="G251" s="1" t="str">
        <f>"H24.04.06"</f>
        <v>H24.04.06</v>
      </c>
      <c r="H251" s="1" t="str">
        <f t="shared" si="13"/>
        <v>開設中</v>
      </c>
      <c r="I251" s="1">
        <v>0</v>
      </c>
      <c r="J251" s="1">
        <v>0</v>
      </c>
      <c r="K251" s="1">
        <v>0</v>
      </c>
      <c r="L251" s="2">
        <v>1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1"/>
    </row>
    <row r="252" spans="1:50" x14ac:dyDescent="0.4">
      <c r="A252" s="1" t="str">
        <f t="shared" si="14"/>
        <v>御船</v>
      </c>
      <c r="B252" s="1" t="s">
        <v>74</v>
      </c>
      <c r="C252" s="1" t="str">
        <f>"861-3913"</f>
        <v>861-3913</v>
      </c>
      <c r="D252" s="1" t="s">
        <v>367</v>
      </c>
      <c r="E252" s="1" t="str">
        <f>"0967830311    "</f>
        <v xml:space="preserve">0967830311    </v>
      </c>
      <c r="F252" s="1" t="str">
        <f>"社会福祉法人　三和会"</f>
        <v>社会福祉法人　三和会</v>
      </c>
      <c r="G252" s="1" t="str">
        <f>"H24.06.01"</f>
        <v>H24.06.01</v>
      </c>
      <c r="H252" s="1" t="str">
        <f t="shared" si="13"/>
        <v>開設中</v>
      </c>
      <c r="I252" s="1">
        <v>0</v>
      </c>
      <c r="J252" s="1">
        <v>0</v>
      </c>
      <c r="K252" s="1">
        <v>0</v>
      </c>
      <c r="L252" s="2">
        <v>1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1"/>
    </row>
    <row r="253" spans="1:50" x14ac:dyDescent="0.4">
      <c r="A253" s="1" t="str">
        <f t="shared" si="14"/>
        <v>御船</v>
      </c>
      <c r="B253" s="1" t="str">
        <f>"はがこどもクリニック"</f>
        <v>はがこどもクリニック</v>
      </c>
      <c r="C253" s="1" t="str">
        <f>"861-2241"</f>
        <v>861-2241</v>
      </c>
      <c r="D253" s="1" t="s">
        <v>368</v>
      </c>
      <c r="E253" s="1" t="str">
        <f>"0962897020    "</f>
        <v xml:space="preserve">0962897020    </v>
      </c>
      <c r="F253" s="1" t="str">
        <f>"芳賀　雄作"</f>
        <v>芳賀　雄作</v>
      </c>
      <c r="G253" s="1" t="str">
        <f>"H24.06.13"</f>
        <v>H24.06.13</v>
      </c>
      <c r="H253" s="1" t="str">
        <f t="shared" si="13"/>
        <v>開設中</v>
      </c>
      <c r="I253" s="1">
        <v>0</v>
      </c>
      <c r="J253" s="1">
        <v>0</v>
      </c>
      <c r="K253" s="1">
        <v>0</v>
      </c>
      <c r="L253" s="2"/>
      <c r="M253" s="2"/>
      <c r="N253" s="2"/>
      <c r="O253" s="2"/>
      <c r="P253" s="2"/>
      <c r="Q253" s="2"/>
      <c r="R253" s="2"/>
      <c r="S253" s="2"/>
      <c r="T253" s="2"/>
      <c r="U253" s="2">
        <v>1</v>
      </c>
      <c r="V253" s="2"/>
      <c r="W253" s="2">
        <v>1</v>
      </c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>
        <v>1</v>
      </c>
      <c r="AT253" s="2"/>
      <c r="AU253" s="2"/>
      <c r="AV253" s="2"/>
      <c r="AW253" s="2"/>
      <c r="AX253" s="1"/>
    </row>
    <row r="254" spans="1:50" x14ac:dyDescent="0.4">
      <c r="A254" s="1" t="str">
        <f t="shared" si="14"/>
        <v>御船</v>
      </c>
      <c r="B254" s="1" t="str">
        <f>"特別養護老人ホーム　いこいの里"</f>
        <v>特別養護老人ホーム　いこいの里</v>
      </c>
      <c r="C254" s="1" t="str">
        <f>"861-2211"</f>
        <v>861-2211</v>
      </c>
      <c r="D254" s="1" t="s">
        <v>369</v>
      </c>
      <c r="E254" s="1" t="str">
        <f>"0962875666    "</f>
        <v xml:space="preserve">0962875666    </v>
      </c>
      <c r="F254" s="1" t="str">
        <f>"社会福祉法人錦光会"</f>
        <v>社会福祉法人錦光会</v>
      </c>
      <c r="G254" s="1" t="str">
        <f>"H24.09.01"</f>
        <v>H24.09.01</v>
      </c>
      <c r="H254" s="1" t="str">
        <f t="shared" si="13"/>
        <v>開設中</v>
      </c>
      <c r="I254" s="1">
        <v>0</v>
      </c>
      <c r="J254" s="1">
        <v>0</v>
      </c>
      <c r="K254" s="1">
        <v>0</v>
      </c>
      <c r="L254" s="2">
        <v>1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1"/>
    </row>
    <row r="255" spans="1:50" x14ac:dyDescent="0.4">
      <c r="A255" s="1" t="str">
        <f t="shared" si="14"/>
        <v>御船</v>
      </c>
      <c r="B255" s="1" t="str">
        <f>"養護老人ホームオアシス　医務室"</f>
        <v>養護老人ホームオアシス　医務室</v>
      </c>
      <c r="C255" s="1" t="str">
        <f>"861-3204"</f>
        <v>861-3204</v>
      </c>
      <c r="D255" s="1" t="s">
        <v>370</v>
      </c>
      <c r="E255" s="1" t="str">
        <f>"0962820459    "</f>
        <v xml:space="preserve">0962820459    </v>
      </c>
      <c r="F255" s="1" t="str">
        <f>"社会福祉法人　伸生紀"</f>
        <v>社会福祉法人　伸生紀</v>
      </c>
      <c r="G255" s="1" t="str">
        <f>"H24.10.01"</f>
        <v>H24.10.01</v>
      </c>
      <c r="H255" s="1" t="str">
        <f t="shared" si="13"/>
        <v>開設中</v>
      </c>
      <c r="I255" s="1">
        <v>0</v>
      </c>
      <c r="J255" s="1">
        <v>0</v>
      </c>
      <c r="K255" s="1">
        <v>0</v>
      </c>
      <c r="L255" s="2">
        <v>1</v>
      </c>
      <c r="M255" s="2"/>
      <c r="N255" s="2"/>
      <c r="O255" s="2"/>
      <c r="P255" s="2"/>
      <c r="Q255" s="2"/>
      <c r="R255" s="2">
        <v>1</v>
      </c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1"/>
    </row>
    <row r="256" spans="1:50" x14ac:dyDescent="0.4">
      <c r="A256" s="1" t="str">
        <f t="shared" si="14"/>
        <v>御船</v>
      </c>
      <c r="B256" s="1" t="str">
        <f>"特別養護老人ホーム　ひろやす荘"</f>
        <v>特別養護老人ホーム　ひろやす荘</v>
      </c>
      <c r="C256" s="1" t="str">
        <f>"861-2231"</f>
        <v>861-2231</v>
      </c>
      <c r="D256" s="1" t="s">
        <v>371</v>
      </c>
      <c r="E256" s="1" t="str">
        <f>"0962864192    "</f>
        <v xml:space="preserve">0962864192    </v>
      </c>
      <c r="F256" s="1" t="str">
        <f>"社会福祉法人　慈光会"</f>
        <v>社会福祉法人　慈光会</v>
      </c>
      <c r="G256" s="1" t="str">
        <f>"H24.11.15"</f>
        <v>H24.11.15</v>
      </c>
      <c r="H256" s="1" t="str">
        <f t="shared" si="13"/>
        <v>開設中</v>
      </c>
      <c r="I256" s="1">
        <v>0</v>
      </c>
      <c r="J256" s="1">
        <v>0</v>
      </c>
      <c r="K256" s="1">
        <v>0</v>
      </c>
      <c r="L256" s="2">
        <v>1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1"/>
    </row>
    <row r="257" spans="1:50" x14ac:dyDescent="0.4">
      <c r="A257" s="1" t="str">
        <f t="shared" si="14"/>
        <v>御船</v>
      </c>
      <c r="B257" s="1" t="str">
        <f>"田上皮ふ科クリニック"</f>
        <v>田上皮ふ科クリニック</v>
      </c>
      <c r="C257" s="1" t="str">
        <f>"861-3206"</f>
        <v>861-3206</v>
      </c>
      <c r="D257" s="1" t="s">
        <v>372</v>
      </c>
      <c r="E257" s="1" t="str">
        <f>"0962811112    "</f>
        <v xml:space="preserve">0962811112    </v>
      </c>
      <c r="F257" s="1" t="str">
        <f>"田上　俊英"</f>
        <v>田上　俊英</v>
      </c>
      <c r="G257" s="1" t="str">
        <f>"H25.04.13"</f>
        <v>H25.04.13</v>
      </c>
      <c r="H257" s="1" t="str">
        <f t="shared" si="13"/>
        <v>開設中</v>
      </c>
      <c r="I257" s="1">
        <v>0</v>
      </c>
      <c r="J257" s="1">
        <v>0</v>
      </c>
      <c r="K257" s="1">
        <v>0</v>
      </c>
      <c r="L257" s="2"/>
      <c r="M257" s="2"/>
      <c r="N257" s="2"/>
      <c r="O257" s="2"/>
      <c r="P257" s="2"/>
      <c r="Q257" s="2"/>
      <c r="R257" s="2"/>
      <c r="S257" s="2"/>
      <c r="T257" s="2"/>
      <c r="U257" s="2">
        <v>1</v>
      </c>
      <c r="V257" s="2"/>
      <c r="W257" s="2"/>
      <c r="X257" s="2"/>
      <c r="Y257" s="2"/>
      <c r="Z257" s="2">
        <v>1</v>
      </c>
      <c r="AA257" s="2"/>
      <c r="AB257" s="2"/>
      <c r="AC257" s="2"/>
      <c r="AD257" s="2"/>
      <c r="AE257" s="2"/>
      <c r="AF257" s="2"/>
      <c r="AG257" s="2"/>
      <c r="AH257" s="2"/>
      <c r="AI257" s="2">
        <v>1</v>
      </c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1"/>
    </row>
    <row r="258" spans="1:50" x14ac:dyDescent="0.4">
      <c r="A258" s="1" t="str">
        <f t="shared" si="14"/>
        <v>御船</v>
      </c>
      <c r="B258" s="1" t="str">
        <f>"大串内科"</f>
        <v>大串内科</v>
      </c>
      <c r="C258" s="1" t="str">
        <f>"861-3101"</f>
        <v>861-3101</v>
      </c>
      <c r="D258" s="1" t="s">
        <v>373</v>
      </c>
      <c r="E258" s="1" t="str">
        <f>"0962347873    "</f>
        <v xml:space="preserve">0962347873    </v>
      </c>
      <c r="F258" s="1" t="str">
        <f>"大串　和久"</f>
        <v>大串　和久</v>
      </c>
      <c r="G258" s="1" t="str">
        <f>"H25.09.13"</f>
        <v>H25.09.13</v>
      </c>
      <c r="H258" s="1" t="str">
        <f t="shared" si="13"/>
        <v>開設中</v>
      </c>
      <c r="I258" s="1">
        <v>0</v>
      </c>
      <c r="J258" s="1">
        <v>0</v>
      </c>
      <c r="K258" s="1">
        <v>0</v>
      </c>
      <c r="L258" s="2">
        <v>1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>
        <v>1</v>
      </c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1"/>
    </row>
    <row r="259" spans="1:50" x14ac:dyDescent="0.4">
      <c r="A259" s="1" t="str">
        <f t="shared" si="14"/>
        <v>御船</v>
      </c>
      <c r="B259" s="1" t="str">
        <f>"益城なかぞのクリニック"</f>
        <v>益城なかぞのクリニック</v>
      </c>
      <c r="C259" s="1" t="str">
        <f>"861-2241"</f>
        <v>861-2241</v>
      </c>
      <c r="D259" s="1" t="s">
        <v>374</v>
      </c>
      <c r="E259" s="1" t="str">
        <f>"0962861700    "</f>
        <v xml:space="preserve">0962861700    </v>
      </c>
      <c r="F259" s="1" t="str">
        <f>"医療法人社団みらい"</f>
        <v>医療法人社団みらい</v>
      </c>
      <c r="G259" s="1" t="str">
        <f>"H26.06.01"</f>
        <v>H26.06.01</v>
      </c>
      <c r="H259" s="1" t="str">
        <f t="shared" si="13"/>
        <v>開設中</v>
      </c>
      <c r="I259" s="1">
        <v>0</v>
      </c>
      <c r="J259" s="1">
        <v>0</v>
      </c>
      <c r="K259" s="1">
        <v>0</v>
      </c>
      <c r="L259" s="2">
        <v>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1" t="s">
        <v>68</v>
      </c>
    </row>
    <row r="260" spans="1:50" x14ac:dyDescent="0.4">
      <c r="A260" s="1" t="str">
        <f t="shared" si="14"/>
        <v>御船</v>
      </c>
      <c r="B260" s="1" t="str">
        <f>"かいがクリニック"</f>
        <v>かいがクリニック</v>
      </c>
      <c r="C260" s="1" t="str">
        <f>"861-2242"</f>
        <v>861-2242</v>
      </c>
      <c r="D260" s="1" t="s">
        <v>375</v>
      </c>
      <c r="E260" s="1" t="str">
        <f>"0962862023    "</f>
        <v xml:space="preserve">0962862023    </v>
      </c>
      <c r="F260" s="1" t="str">
        <f>"海賀　千弘"</f>
        <v>海賀　千弘</v>
      </c>
      <c r="G260" s="1" t="str">
        <f>"H26.09.12"</f>
        <v>H26.09.12</v>
      </c>
      <c r="H260" s="1" t="str">
        <f t="shared" si="13"/>
        <v>開設中</v>
      </c>
      <c r="I260" s="1">
        <v>0</v>
      </c>
      <c r="J260" s="1">
        <v>0</v>
      </c>
      <c r="K260" s="1">
        <v>0</v>
      </c>
      <c r="L260" s="2">
        <v>1</v>
      </c>
      <c r="M260" s="2"/>
      <c r="N260" s="2"/>
      <c r="O260" s="2"/>
      <c r="P260" s="2"/>
      <c r="Q260" s="2"/>
      <c r="R260" s="2"/>
      <c r="S260" s="2"/>
      <c r="T260" s="2">
        <v>1</v>
      </c>
      <c r="U260" s="2"/>
      <c r="V260" s="2"/>
      <c r="W260" s="2">
        <v>1</v>
      </c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1"/>
    </row>
    <row r="261" spans="1:50" x14ac:dyDescent="0.4">
      <c r="A261" s="1" t="str">
        <f t="shared" si="14"/>
        <v>御船</v>
      </c>
      <c r="B261" s="1" t="str">
        <f>"緑川へき地診療所"</f>
        <v>緑川へき地診療所</v>
      </c>
      <c r="C261" s="1" t="str">
        <f>"861-3845"</f>
        <v>861-3845</v>
      </c>
      <c r="D261" s="1" t="s">
        <v>376</v>
      </c>
      <c r="E261" s="1" t="str">
        <f>"0967823170    "</f>
        <v xml:space="preserve">0967823170    </v>
      </c>
      <c r="F261" s="1" t="str">
        <f>"山都町"</f>
        <v>山都町</v>
      </c>
      <c r="G261" s="1" t="str">
        <f>"H27.04.01"</f>
        <v>H27.04.01</v>
      </c>
      <c r="H261" s="1" t="str">
        <f t="shared" si="13"/>
        <v>開設中</v>
      </c>
      <c r="I261" s="1">
        <v>0</v>
      </c>
      <c r="J261" s="1">
        <v>0</v>
      </c>
      <c r="K261" s="1">
        <v>0</v>
      </c>
      <c r="L261" s="2">
        <v>1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>
        <v>1</v>
      </c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1"/>
    </row>
    <row r="262" spans="1:50" x14ac:dyDescent="0.4">
      <c r="A262" s="1" t="str">
        <f t="shared" si="14"/>
        <v>御船</v>
      </c>
      <c r="B262" s="1" t="str">
        <f>"榊田泌尿器科外科医院"</f>
        <v>榊田泌尿器科外科医院</v>
      </c>
      <c r="C262" s="1" t="str">
        <f>"861-3207"</f>
        <v>861-3207</v>
      </c>
      <c r="D262" s="1" t="s">
        <v>377</v>
      </c>
      <c r="E262" s="1" t="str">
        <f>"0962826363    "</f>
        <v xml:space="preserve">0962826363    </v>
      </c>
      <c r="F262" s="1" t="str">
        <f>"榊田　裕士"</f>
        <v>榊田　裕士</v>
      </c>
      <c r="G262" s="1" t="str">
        <f>"H29.03.22"</f>
        <v>H29.03.22</v>
      </c>
      <c r="H262" s="1" t="str">
        <f t="shared" si="13"/>
        <v>開設中</v>
      </c>
      <c r="I262" s="1">
        <v>0</v>
      </c>
      <c r="J262" s="1">
        <v>0</v>
      </c>
      <c r="K262" s="1">
        <v>0</v>
      </c>
      <c r="L262" s="2">
        <v>1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>
        <v>1</v>
      </c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>
        <v>1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1"/>
    </row>
    <row r="263" spans="1:50" x14ac:dyDescent="0.4">
      <c r="A263" s="1" t="str">
        <f t="shared" si="14"/>
        <v>御船</v>
      </c>
      <c r="B263" s="1" t="str">
        <f>"浜美荘診療所"</f>
        <v>浜美荘診療所</v>
      </c>
      <c r="C263" s="1" t="str">
        <f>"861-3543"</f>
        <v>861-3543</v>
      </c>
      <c r="D263" s="1" t="s">
        <v>378</v>
      </c>
      <c r="E263" s="1" t="str">
        <f>"0967721553    "</f>
        <v xml:space="preserve">0967721553    </v>
      </c>
      <c r="F263" s="1" t="str">
        <f>"社会福祉法人　日生会"</f>
        <v>社会福祉法人　日生会</v>
      </c>
      <c r="G263" s="1" t="str">
        <f>"H30.04.01"</f>
        <v>H30.04.01</v>
      </c>
      <c r="H263" s="1" t="str">
        <f t="shared" si="13"/>
        <v>開設中</v>
      </c>
      <c r="I263" s="1">
        <v>0</v>
      </c>
      <c r="J263" s="1">
        <v>0</v>
      </c>
      <c r="K263" s="1">
        <v>0</v>
      </c>
      <c r="L263" s="2">
        <v>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1"/>
    </row>
    <row r="264" spans="1:50" x14ac:dyDescent="0.4">
      <c r="A264" s="1" t="str">
        <f t="shared" si="14"/>
        <v>御船</v>
      </c>
      <c r="B264" s="1" t="str">
        <f>"ましき在宅診療所"</f>
        <v>ましき在宅診療所</v>
      </c>
      <c r="C264" s="1" t="str">
        <f>"861-2241"</f>
        <v>861-2241</v>
      </c>
      <c r="D264" s="1" t="s">
        <v>379</v>
      </c>
      <c r="E264" s="1" t="str">
        <f>"0962886530    "</f>
        <v xml:space="preserve">0962886530    </v>
      </c>
      <c r="F264" s="1" t="str">
        <f>"藤本　哲広"</f>
        <v>藤本　哲広</v>
      </c>
      <c r="G264" s="1" t="str">
        <f>"H30.09.05"</f>
        <v>H30.09.05</v>
      </c>
      <c r="H264" s="1" t="str">
        <f t="shared" si="13"/>
        <v>開設中</v>
      </c>
      <c r="I264" s="1">
        <v>0</v>
      </c>
      <c r="J264" s="1">
        <v>0</v>
      </c>
      <c r="K264" s="1">
        <v>0</v>
      </c>
      <c r="L264" s="2">
        <v>1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1"/>
    </row>
    <row r="265" spans="1:50" x14ac:dyDescent="0.4">
      <c r="A265" s="1" t="str">
        <f t="shared" si="14"/>
        <v>御船</v>
      </c>
      <c r="B265" s="1" t="str">
        <f>"清水眼科"</f>
        <v>清水眼科</v>
      </c>
      <c r="C265" s="1" t="str">
        <f>"861-2233"</f>
        <v>861-2233</v>
      </c>
      <c r="D265" s="1" t="s">
        <v>380</v>
      </c>
      <c r="E265" s="1" t="str">
        <f>"0962890288    "</f>
        <v xml:space="preserve">0962890288    </v>
      </c>
      <c r="F265" s="1" t="str">
        <f>"医療法人　宮嶋会"</f>
        <v>医療法人　宮嶋会</v>
      </c>
      <c r="G265" s="1" t="str">
        <f>"H30.12.01"</f>
        <v>H30.12.01</v>
      </c>
      <c r="H265" s="1" t="str">
        <f t="shared" si="13"/>
        <v>開設中</v>
      </c>
      <c r="I265" s="1">
        <v>0</v>
      </c>
      <c r="J265" s="1">
        <v>0</v>
      </c>
      <c r="K265" s="1">
        <v>0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>
        <v>1</v>
      </c>
      <c r="AO265" s="2"/>
      <c r="AP265" s="2"/>
      <c r="AQ265" s="2"/>
      <c r="AR265" s="2"/>
      <c r="AS265" s="2"/>
      <c r="AT265" s="2"/>
      <c r="AU265" s="2"/>
      <c r="AV265" s="2"/>
      <c r="AW265" s="2"/>
      <c r="AX265" s="1"/>
    </row>
    <row r="266" spans="1:50" x14ac:dyDescent="0.4">
      <c r="A266" s="1" t="str">
        <f t="shared" si="14"/>
        <v>御船</v>
      </c>
      <c r="B266" s="1" t="str">
        <f>"ひろやすクリニック"</f>
        <v>ひろやすクリニック</v>
      </c>
      <c r="C266" s="1" t="str">
        <f>"861-2233"</f>
        <v>861-2233</v>
      </c>
      <c r="D266" s="1" t="s">
        <v>381</v>
      </c>
      <c r="E266" s="1" t="str">
        <f>"0962863611    "</f>
        <v xml:space="preserve">0962863611    </v>
      </c>
      <c r="F266" s="1" t="str">
        <f>"社会医療法人　ましき会"</f>
        <v>社会医療法人　ましき会</v>
      </c>
      <c r="G266" s="1" t="str">
        <f>"R01.05.13"</f>
        <v>R01.05.13</v>
      </c>
      <c r="H266" s="1" t="str">
        <f t="shared" si="13"/>
        <v>開設中</v>
      </c>
      <c r="I266" s="1">
        <v>0</v>
      </c>
      <c r="J266" s="1">
        <v>0</v>
      </c>
      <c r="K266" s="1">
        <v>0</v>
      </c>
      <c r="L266" s="2">
        <v>1</v>
      </c>
      <c r="M266" s="2"/>
      <c r="N266" s="2"/>
      <c r="O266" s="2"/>
      <c r="P266" s="2"/>
      <c r="Q266" s="2">
        <v>1</v>
      </c>
      <c r="R266" s="2">
        <v>1</v>
      </c>
      <c r="S266" s="2"/>
      <c r="T266" s="2">
        <v>1</v>
      </c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1"/>
    </row>
    <row r="267" spans="1:50" x14ac:dyDescent="0.4">
      <c r="A267" s="1" t="str">
        <f t="shared" si="14"/>
        <v>御船</v>
      </c>
      <c r="B267" s="1" t="str">
        <f>"熊本県御船保健所"</f>
        <v>熊本県御船保健所</v>
      </c>
      <c r="C267" s="1" t="str">
        <f>"861-3206"</f>
        <v>861-3206</v>
      </c>
      <c r="D267" s="1" t="s">
        <v>382</v>
      </c>
      <c r="E267" s="1" t="str">
        <f>"0962820016    "</f>
        <v xml:space="preserve">0962820016    </v>
      </c>
      <c r="F267" s="1" t="str">
        <f>"熊本県知事　木村　敬"</f>
        <v>熊本県知事　木村　敬</v>
      </c>
      <c r="G267" s="1" t="str">
        <f>"R01.12.01"</f>
        <v>R01.12.01</v>
      </c>
      <c r="H267" s="1" t="str">
        <f t="shared" si="13"/>
        <v>開設中</v>
      </c>
      <c r="I267" s="1">
        <v>0</v>
      </c>
      <c r="J267" s="1">
        <v>0</v>
      </c>
      <c r="K267" s="1">
        <v>0</v>
      </c>
      <c r="L267" s="2">
        <v>1</v>
      </c>
      <c r="M267" s="2"/>
      <c r="N267" s="2">
        <v>1</v>
      </c>
      <c r="O267" s="2"/>
      <c r="P267" s="2"/>
      <c r="Q267" s="2"/>
      <c r="R267" s="2"/>
      <c r="S267" s="2"/>
      <c r="T267" s="2"/>
      <c r="U267" s="2"/>
      <c r="V267" s="2"/>
      <c r="W267" s="2">
        <v>1</v>
      </c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>
        <v>1</v>
      </c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1"/>
    </row>
    <row r="268" spans="1:50" x14ac:dyDescent="0.4">
      <c r="A268" s="1" t="str">
        <f t="shared" si="14"/>
        <v>御船</v>
      </c>
      <c r="B268" s="1" t="str">
        <f>"牟田内科医院"</f>
        <v>牟田内科医院</v>
      </c>
      <c r="C268" s="1" t="str">
        <f>"861-3207"</f>
        <v>861-3207</v>
      </c>
      <c r="D268" s="1" t="s">
        <v>383</v>
      </c>
      <c r="E268" s="1" t="str">
        <f>"0962820216    "</f>
        <v xml:space="preserve">0962820216    </v>
      </c>
      <c r="F268" s="1" t="str">
        <f>"医療法人社団　泰泉会"</f>
        <v>医療法人社団　泰泉会</v>
      </c>
      <c r="G268" s="1" t="str">
        <f>"R01.12.16"</f>
        <v>R01.12.16</v>
      </c>
      <c r="H268" s="1" t="str">
        <f t="shared" si="13"/>
        <v>開設中</v>
      </c>
      <c r="I268" s="1">
        <v>0</v>
      </c>
      <c r="J268" s="1">
        <v>0</v>
      </c>
      <c r="K268" s="1">
        <v>0</v>
      </c>
      <c r="L268" s="2">
        <v>1</v>
      </c>
      <c r="M268" s="2"/>
      <c r="N268" s="2"/>
      <c r="O268" s="2"/>
      <c r="P268" s="2"/>
      <c r="Q268" s="2"/>
      <c r="R268" s="2">
        <v>1</v>
      </c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1"/>
    </row>
    <row r="269" spans="1:50" x14ac:dyDescent="0.4">
      <c r="A269" s="1" t="str">
        <f t="shared" si="14"/>
        <v>御船</v>
      </c>
      <c r="B269" s="1" t="str">
        <f>"のざき消化器ＩＢＤクリニック"</f>
        <v>のざき消化器ＩＢＤクリニック</v>
      </c>
      <c r="C269" s="1" t="str">
        <f>"861-2236"</f>
        <v>861-2236</v>
      </c>
      <c r="D269" s="1" t="s">
        <v>384</v>
      </c>
      <c r="E269" s="1" t="str">
        <f>"0962853373    "</f>
        <v xml:space="preserve">0962853373    </v>
      </c>
      <c r="F269" s="1" t="str">
        <f>"野﨑　良一"</f>
        <v>野﨑　良一</v>
      </c>
      <c r="G269" s="1" t="str">
        <f>"R03.08.01"</f>
        <v>R03.08.01</v>
      </c>
      <c r="H269" s="1" t="str">
        <f t="shared" si="13"/>
        <v>開設中</v>
      </c>
      <c r="I269" s="1">
        <v>0</v>
      </c>
      <c r="J269" s="1">
        <v>0</v>
      </c>
      <c r="K269" s="1">
        <v>0</v>
      </c>
      <c r="L269" s="2">
        <v>1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1" t="s">
        <v>75</v>
      </c>
    </row>
    <row r="270" spans="1:50" x14ac:dyDescent="0.4">
      <c r="A270" s="1" t="str">
        <f t="shared" si="14"/>
        <v>御船</v>
      </c>
      <c r="B270" s="1" t="str">
        <f>"のぐち皮ふ科"</f>
        <v>のぐち皮ふ科</v>
      </c>
      <c r="C270" s="1" t="str">
        <f>"861-3101"</f>
        <v>861-3101</v>
      </c>
      <c r="D270" s="1" t="s">
        <v>385</v>
      </c>
      <c r="E270" s="1" t="str">
        <f>"0962374112    "</f>
        <v xml:space="preserve">0962374112    </v>
      </c>
      <c r="F270" s="1" t="str">
        <f>"医療法人　博麗会"</f>
        <v>医療法人　博麗会</v>
      </c>
      <c r="G270" s="1" t="str">
        <f>"R03.12.01"</f>
        <v>R03.12.01</v>
      </c>
      <c r="H270" s="1" t="str">
        <f t="shared" si="13"/>
        <v>開設中</v>
      </c>
      <c r="I270" s="1">
        <v>0</v>
      </c>
      <c r="J270" s="1">
        <v>0</v>
      </c>
      <c r="K270" s="1">
        <v>0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>
        <v>1</v>
      </c>
      <c r="AA270" s="2"/>
      <c r="AB270" s="2"/>
      <c r="AC270" s="2"/>
      <c r="AD270" s="2"/>
      <c r="AE270" s="2"/>
      <c r="AF270" s="2"/>
      <c r="AG270" s="2"/>
      <c r="AH270" s="2"/>
      <c r="AI270" s="2">
        <v>1</v>
      </c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1"/>
    </row>
    <row r="271" spans="1:50" x14ac:dyDescent="0.4">
      <c r="A271" s="1" t="str">
        <f t="shared" si="14"/>
        <v>御船</v>
      </c>
      <c r="B271" s="1" t="str">
        <f>"甲佐眼科クリニック"</f>
        <v>甲佐眼科クリニック</v>
      </c>
      <c r="C271" s="1" t="str">
        <f>"861-4601"</f>
        <v>861-4601</v>
      </c>
      <c r="D271" s="1" t="s">
        <v>386</v>
      </c>
      <c r="E271" s="1" t="str">
        <f>"0962355600    "</f>
        <v xml:space="preserve">0962355600    </v>
      </c>
      <c r="F271" s="1" t="str">
        <f>"医療法人　武藤会"</f>
        <v>医療法人　武藤会</v>
      </c>
      <c r="G271" s="1" t="str">
        <f>"R04.01.01"</f>
        <v>R04.01.01</v>
      </c>
      <c r="H271" s="1" t="str">
        <f t="shared" si="13"/>
        <v>開設中</v>
      </c>
      <c r="I271" s="1">
        <v>0</v>
      </c>
      <c r="J271" s="1">
        <v>0</v>
      </c>
      <c r="K271" s="1">
        <v>0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>
        <v>1</v>
      </c>
      <c r="AO271" s="2"/>
      <c r="AP271" s="2"/>
      <c r="AQ271" s="2"/>
      <c r="AR271" s="2"/>
      <c r="AS271" s="2"/>
      <c r="AT271" s="2"/>
      <c r="AU271" s="2"/>
      <c r="AV271" s="2"/>
      <c r="AW271" s="2"/>
      <c r="AX271" s="1"/>
    </row>
    <row r="272" spans="1:50" x14ac:dyDescent="0.4">
      <c r="A272" s="1" t="str">
        <f t="shared" si="14"/>
        <v>御船</v>
      </c>
      <c r="B272" s="1" t="str">
        <f>"市原産婦人科医院"</f>
        <v>市原産婦人科医院</v>
      </c>
      <c r="C272" s="1" t="str">
        <f>"861-2233"</f>
        <v>861-2233</v>
      </c>
      <c r="D272" s="1" t="s">
        <v>387</v>
      </c>
      <c r="E272" s="1" t="str">
        <f>"0962867568    "</f>
        <v xml:space="preserve">0962867568    </v>
      </c>
      <c r="F272" s="1" t="str">
        <f>"市原　憲雄"</f>
        <v>市原　憲雄</v>
      </c>
      <c r="G272" s="1" t="str">
        <f>"R04.01.01"</f>
        <v>R04.01.01</v>
      </c>
      <c r="H272" s="1" t="str">
        <f t="shared" si="13"/>
        <v>開設中</v>
      </c>
      <c r="I272" s="1">
        <v>12</v>
      </c>
      <c r="J272" s="1">
        <v>12</v>
      </c>
      <c r="K272" s="1">
        <v>0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>
        <v>1</v>
      </c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1"/>
    </row>
    <row r="273" spans="1:50" x14ac:dyDescent="0.4">
      <c r="A273" s="1" t="str">
        <f t="shared" si="14"/>
        <v>御船</v>
      </c>
      <c r="B273" s="1" t="str">
        <f>"整形外科桜木クリニック"</f>
        <v>整形外科桜木クリニック</v>
      </c>
      <c r="C273" s="1" t="str">
        <f>"861-2236"</f>
        <v>861-2236</v>
      </c>
      <c r="D273" s="1" t="s">
        <v>388</v>
      </c>
      <c r="E273" s="1" t="str">
        <f>"0962863969    "</f>
        <v xml:space="preserve">0962863969    </v>
      </c>
      <c r="F273" s="1" t="str">
        <f>"医療法人　陽桜会"</f>
        <v>医療法人　陽桜会</v>
      </c>
      <c r="G273" s="1" t="str">
        <f>"R06.03.01"</f>
        <v>R06.03.01</v>
      </c>
      <c r="H273" s="1" t="str">
        <f t="shared" si="13"/>
        <v>開設中</v>
      </c>
      <c r="I273" s="1">
        <v>0</v>
      </c>
      <c r="J273" s="1">
        <v>0</v>
      </c>
      <c r="K273" s="1">
        <v>0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>
        <v>1</v>
      </c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>
        <v>1</v>
      </c>
      <c r="AR273" s="2"/>
      <c r="AS273" s="2"/>
      <c r="AT273" s="2"/>
      <c r="AU273" s="2"/>
      <c r="AV273" s="2"/>
      <c r="AW273" s="2"/>
      <c r="AX273" s="1"/>
    </row>
    <row r="274" spans="1:50" x14ac:dyDescent="0.4">
      <c r="A274" s="1" t="str">
        <f t="shared" si="14"/>
        <v>御船</v>
      </c>
      <c r="B274" s="1" t="str">
        <f>"ましきクリニック"</f>
        <v>ましきクリニック</v>
      </c>
      <c r="C274" s="1" t="str">
        <f>"861-2233"</f>
        <v>861-2233</v>
      </c>
      <c r="D274" s="1" t="s">
        <v>389</v>
      </c>
      <c r="E274" s="1" t="str">
        <f>"0962878733    "</f>
        <v xml:space="preserve">0962878733    </v>
      </c>
      <c r="F274" s="1" t="str">
        <f>"医療法人　秀康会"</f>
        <v>医療法人　秀康会</v>
      </c>
      <c r="G274" s="1" t="str">
        <f>"R06.03.25"</f>
        <v>R06.03.25</v>
      </c>
      <c r="H274" s="1" t="str">
        <f t="shared" si="13"/>
        <v>開設中</v>
      </c>
      <c r="I274" s="1">
        <v>0</v>
      </c>
      <c r="J274" s="1">
        <v>0</v>
      </c>
      <c r="K274" s="1">
        <v>0</v>
      </c>
      <c r="L274" s="2"/>
      <c r="M274" s="2"/>
      <c r="N274" s="2"/>
      <c r="O274" s="2"/>
      <c r="P274" s="2"/>
      <c r="Q274" s="2"/>
      <c r="R274" s="2"/>
      <c r="S274" s="2"/>
      <c r="T274" s="2"/>
      <c r="U274" s="2">
        <v>1</v>
      </c>
      <c r="V274" s="2"/>
      <c r="W274" s="2">
        <v>1</v>
      </c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>
        <v>1</v>
      </c>
      <c r="AP274" s="2"/>
      <c r="AQ274" s="2"/>
      <c r="AR274" s="2"/>
      <c r="AS274" s="2"/>
      <c r="AT274" s="2"/>
      <c r="AU274" s="2"/>
      <c r="AV274" s="2"/>
      <c r="AW274" s="2"/>
      <c r="AX274" s="1"/>
    </row>
    <row r="275" spans="1:50" x14ac:dyDescent="0.4">
      <c r="A275" s="1" t="str">
        <f t="shared" si="14"/>
        <v>御船</v>
      </c>
      <c r="B275" s="1" t="str">
        <f>"伴クリニック"</f>
        <v>伴クリニック</v>
      </c>
      <c r="C275" s="1" t="str">
        <f>"861-3518"</f>
        <v>861-3518</v>
      </c>
      <c r="D275" s="1" t="s">
        <v>390</v>
      </c>
      <c r="E275" s="1" t="str">
        <f>"0967720029    "</f>
        <v xml:space="preserve">0967720029    </v>
      </c>
      <c r="F275" s="1" t="str">
        <f>"医療法人　潤幸会"</f>
        <v>医療法人　潤幸会</v>
      </c>
      <c r="G275" s="1" t="str">
        <f>"R06.03.30"</f>
        <v>R06.03.30</v>
      </c>
      <c r="H275" s="1" t="str">
        <f t="shared" si="13"/>
        <v>開設中</v>
      </c>
      <c r="I275" s="1">
        <v>0</v>
      </c>
      <c r="J275" s="1">
        <v>0</v>
      </c>
      <c r="K275" s="1">
        <v>0</v>
      </c>
      <c r="L275" s="2">
        <v>1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>
        <v>1</v>
      </c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>
        <v>1</v>
      </c>
      <c r="AR275" s="2"/>
      <c r="AS275" s="2"/>
      <c r="AT275" s="2"/>
      <c r="AU275" s="2"/>
      <c r="AV275" s="2"/>
      <c r="AW275" s="2"/>
      <c r="AX275" s="1"/>
    </row>
    <row r="276" spans="1:50" x14ac:dyDescent="0.4">
      <c r="A276" s="1" t="str">
        <f t="shared" si="14"/>
        <v>御船</v>
      </c>
      <c r="B276" s="1" t="str">
        <f>"あおい皮ふ科"</f>
        <v>あおい皮ふ科</v>
      </c>
      <c r="C276" s="1" t="str">
        <f>"861-2236"</f>
        <v>861-2236</v>
      </c>
      <c r="D276" s="1" t="s">
        <v>391</v>
      </c>
      <c r="E276" s="1" t="str">
        <f>"0962886028    "</f>
        <v xml:space="preserve">0962886028    </v>
      </c>
      <c r="F276" s="1" t="str">
        <f>"工藤　淳"</f>
        <v>工藤　淳</v>
      </c>
      <c r="G276" s="1" t="str">
        <f>"R06.03.16"</f>
        <v>R06.03.16</v>
      </c>
      <c r="H276" s="1" t="str">
        <f t="shared" si="13"/>
        <v>開設中</v>
      </c>
      <c r="I276" s="1">
        <v>0</v>
      </c>
      <c r="J276" s="1">
        <v>0</v>
      </c>
      <c r="K276" s="1">
        <v>0</v>
      </c>
      <c r="L276" s="2"/>
      <c r="M276" s="2"/>
      <c r="N276" s="2"/>
      <c r="O276" s="2"/>
      <c r="P276" s="2"/>
      <c r="Q276" s="2"/>
      <c r="R276" s="2"/>
      <c r="S276" s="2"/>
      <c r="T276" s="2"/>
      <c r="U276" s="2">
        <v>1</v>
      </c>
      <c r="V276" s="2"/>
      <c r="W276" s="2"/>
      <c r="X276" s="2"/>
      <c r="Y276" s="2"/>
      <c r="Z276" s="2">
        <v>1</v>
      </c>
      <c r="AA276" s="2"/>
      <c r="AB276" s="2"/>
      <c r="AC276" s="2"/>
      <c r="AD276" s="2"/>
      <c r="AE276" s="2"/>
      <c r="AF276" s="2"/>
      <c r="AG276" s="2"/>
      <c r="AH276" s="2"/>
      <c r="AI276" s="2">
        <v>1</v>
      </c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1"/>
    </row>
    <row r="277" spans="1:50" x14ac:dyDescent="0.4">
      <c r="A277" s="1" t="str">
        <f t="shared" si="14"/>
        <v>御船</v>
      </c>
      <c r="B277" s="1" t="str">
        <f>"嘉島さいとう内科クリニック"</f>
        <v>嘉島さいとう内科クリニック</v>
      </c>
      <c r="C277" s="1" t="str">
        <f>"861-3106"</f>
        <v>861-3106</v>
      </c>
      <c r="D277" s="1" t="s">
        <v>392</v>
      </c>
      <c r="E277" s="1" t="str">
        <f>"0962357773    "</f>
        <v xml:space="preserve">0962357773    </v>
      </c>
      <c r="F277" s="1" t="str">
        <f>"齊藤　宏和"</f>
        <v>齊藤　宏和</v>
      </c>
      <c r="G277" s="1" t="str">
        <f>"R06.06.01"</f>
        <v>R06.06.01</v>
      </c>
      <c r="H277" s="1" t="str">
        <f t="shared" si="13"/>
        <v>開設中</v>
      </c>
      <c r="I277" s="1">
        <v>0</v>
      </c>
      <c r="J277" s="1">
        <v>0</v>
      </c>
      <c r="K277" s="1">
        <v>0</v>
      </c>
      <c r="L277" s="2">
        <v>1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1" t="s">
        <v>76</v>
      </c>
    </row>
    <row r="278" spans="1:50" x14ac:dyDescent="0.4">
      <c r="A278" s="1" t="str">
        <f t="shared" si="14"/>
        <v>御船</v>
      </c>
      <c r="B278" s="1" t="str">
        <f>"かずゆき目のクリニック"</f>
        <v>かずゆき目のクリニック</v>
      </c>
      <c r="C278" s="1" t="str">
        <f>"861-3104"</f>
        <v>861-3104</v>
      </c>
      <c r="D278" s="1" t="s">
        <v>393</v>
      </c>
      <c r="E278" s="1" t="str">
        <f>"0962357777    "</f>
        <v xml:space="preserve">0962357777    </v>
      </c>
      <c r="F278" s="1" t="str">
        <f>"川畑　和幸"</f>
        <v>川畑　和幸</v>
      </c>
      <c r="G278" s="1" t="str">
        <f>"R06.06.01"</f>
        <v>R06.06.01</v>
      </c>
      <c r="H278" s="1" t="str">
        <f t="shared" si="13"/>
        <v>開設中</v>
      </c>
      <c r="I278" s="1">
        <v>0</v>
      </c>
      <c r="J278" s="1">
        <v>0</v>
      </c>
      <c r="K278" s="1">
        <v>0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>
        <v>1</v>
      </c>
      <c r="AO278" s="2"/>
      <c r="AP278" s="2"/>
      <c r="AQ278" s="2"/>
      <c r="AR278" s="2"/>
      <c r="AS278" s="2"/>
      <c r="AT278" s="2"/>
      <c r="AU278" s="2"/>
      <c r="AV278" s="2"/>
      <c r="AW278" s="2"/>
      <c r="AX278" s="1"/>
    </row>
    <row r="279" spans="1:50" x14ac:dyDescent="0.4">
      <c r="A279" s="1" t="str">
        <f t="shared" si="14"/>
        <v>御船</v>
      </c>
      <c r="B279" s="1" t="str">
        <f>"養護老人ホーム花へんろ"</f>
        <v>養護老人ホーム花へんろ</v>
      </c>
      <c r="C279" s="1" t="str">
        <f>"861-2221"</f>
        <v>861-2221</v>
      </c>
      <c r="D279" s="1" t="s">
        <v>927</v>
      </c>
      <c r="E279" s="1" t="str">
        <f>"0962862075    "</f>
        <v xml:space="preserve">0962862075    </v>
      </c>
      <c r="F279" s="1" t="str">
        <f>"社会福祉法人ましき苑"</f>
        <v>社会福祉法人ましき苑</v>
      </c>
      <c r="G279" s="1" t="str">
        <f>"R07.04.01"</f>
        <v>R07.04.01</v>
      </c>
      <c r="H279" s="1" t="str">
        <f t="shared" si="13"/>
        <v>開設中</v>
      </c>
      <c r="I279" s="1">
        <v>0</v>
      </c>
      <c r="J279" s="1">
        <v>0</v>
      </c>
      <c r="K279" s="1">
        <v>0</v>
      </c>
      <c r="L279" s="2">
        <v>1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1"/>
    </row>
    <row r="280" spans="1:50" s="7" customFormat="1" x14ac:dyDescent="0.4">
      <c r="A280" s="5" t="str">
        <f t="shared" ref="A280:A311" si="15">"八代"</f>
        <v>八代</v>
      </c>
      <c r="B280" s="5" t="str">
        <f>"福田クリニック・産婦人科内科"</f>
        <v>福田クリニック・産婦人科内科</v>
      </c>
      <c r="C280" s="5" t="str">
        <f>"869-5133"</f>
        <v>869-5133</v>
      </c>
      <c r="D280" s="5" t="s">
        <v>429</v>
      </c>
      <c r="E280" s="5" t="str">
        <f>"0965380068    "</f>
        <v xml:space="preserve">0965380068    </v>
      </c>
      <c r="F280" s="5" t="str">
        <f>"医療法人社団　杏泉会"</f>
        <v>医療法人社団　杏泉会</v>
      </c>
      <c r="G280" s="5" t="str">
        <f>"H03.10.01"</f>
        <v>H03.10.01</v>
      </c>
      <c r="H280" s="5" t="str">
        <f t="shared" ref="H280:H343" si="16">"開設中"</f>
        <v>開設中</v>
      </c>
      <c r="I280" s="5">
        <v>0</v>
      </c>
      <c r="J280" s="5">
        <v>0</v>
      </c>
      <c r="K280" s="5">
        <v>0</v>
      </c>
      <c r="L280" s="6">
        <v>1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>
        <v>1</v>
      </c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5" t="s">
        <v>924</v>
      </c>
    </row>
    <row r="281" spans="1:50" s="7" customFormat="1" x14ac:dyDescent="0.4">
      <c r="A281" s="5" t="str">
        <f t="shared" si="15"/>
        <v>八代</v>
      </c>
      <c r="B281" s="5" t="str">
        <f>"うらべ・むらたクリニック"</f>
        <v>うらべ・むらたクリニック</v>
      </c>
      <c r="C281" s="5" t="str">
        <f>"866-0874"</f>
        <v>866-0874</v>
      </c>
      <c r="D281" s="5" t="s">
        <v>434</v>
      </c>
      <c r="E281" s="5" t="str">
        <f>"0965341872    "</f>
        <v xml:space="preserve">0965341872    </v>
      </c>
      <c r="F281" s="5" t="str">
        <f>"医療法人　和康会"</f>
        <v>医療法人　和康会</v>
      </c>
      <c r="G281" s="5" t="str">
        <f>"H15.10.01"</f>
        <v>H15.10.01</v>
      </c>
      <c r="H281" s="5" t="str">
        <f t="shared" si="16"/>
        <v>開設中</v>
      </c>
      <c r="I281" s="5">
        <v>6</v>
      </c>
      <c r="J281" s="5">
        <v>6</v>
      </c>
      <c r="K281" s="5">
        <v>0</v>
      </c>
      <c r="L281" s="6">
        <v>1</v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>
        <v>1</v>
      </c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 t="s">
        <v>925</v>
      </c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5" t="s">
        <v>926</v>
      </c>
    </row>
    <row r="282" spans="1:50" x14ac:dyDescent="0.4">
      <c r="A282" s="1" t="str">
        <f t="shared" si="15"/>
        <v>八代</v>
      </c>
      <c r="B282" s="1" t="str">
        <f>"ありの内科呼吸器科"</f>
        <v>ありの内科呼吸器科</v>
      </c>
      <c r="C282" s="1" t="str">
        <f>"866-0831"</f>
        <v>866-0831</v>
      </c>
      <c r="D282" s="1" t="s">
        <v>394</v>
      </c>
      <c r="E282" s="1" t="str">
        <f>"0965325941    "</f>
        <v xml:space="preserve">0965325941    </v>
      </c>
      <c r="F282" s="1" t="str">
        <f>"有野　晃司"</f>
        <v>有野　晃司</v>
      </c>
      <c r="G282" s="1" t="str">
        <f>"H09.10.01"</f>
        <v>H09.10.01</v>
      </c>
      <c r="H282" s="1" t="str">
        <f t="shared" si="16"/>
        <v>開設中</v>
      </c>
      <c r="I282" s="1">
        <v>0</v>
      </c>
      <c r="J282" s="1">
        <v>0</v>
      </c>
      <c r="K282" s="1">
        <v>0</v>
      </c>
      <c r="L282" s="2">
        <v>1</v>
      </c>
      <c r="M282" s="2"/>
      <c r="N282" s="2"/>
      <c r="O282" s="2"/>
      <c r="P282" s="2"/>
      <c r="Q282" s="2">
        <v>1</v>
      </c>
      <c r="R282" s="2"/>
      <c r="S282" s="2">
        <v>1</v>
      </c>
      <c r="T282" s="2">
        <v>1</v>
      </c>
      <c r="U282" s="2"/>
      <c r="V282" s="2"/>
      <c r="W282" s="2">
        <v>1</v>
      </c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1"/>
    </row>
    <row r="283" spans="1:50" x14ac:dyDescent="0.4">
      <c r="A283" s="1" t="str">
        <f t="shared" si="15"/>
        <v>八代</v>
      </c>
      <c r="B283" s="1" t="str">
        <f>"医療法人社団伊達整形外科医院"</f>
        <v>医療法人社団伊達整形外科医院</v>
      </c>
      <c r="C283" s="1" t="str">
        <f>"869-5142"</f>
        <v>869-5142</v>
      </c>
      <c r="D283" s="1" t="s">
        <v>395</v>
      </c>
      <c r="E283" s="1" t="str">
        <f>"0965383700    "</f>
        <v xml:space="preserve">0965383700    </v>
      </c>
      <c r="F283" s="1" t="str">
        <f>"医療法人社団　伊達整形外科医院"</f>
        <v>医療法人社団　伊達整形外科医院</v>
      </c>
      <c r="G283" s="1" t="str">
        <f>"H12.01.01"</f>
        <v>H12.01.01</v>
      </c>
      <c r="H283" s="1" t="str">
        <f t="shared" si="16"/>
        <v>開設中</v>
      </c>
      <c r="I283" s="1">
        <v>0</v>
      </c>
      <c r="J283" s="1">
        <v>0</v>
      </c>
      <c r="K283" s="1">
        <v>0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>
        <v>1</v>
      </c>
      <c r="W283" s="2"/>
      <c r="X283" s="2"/>
      <c r="Y283" s="2">
        <v>1</v>
      </c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>
        <v>1</v>
      </c>
      <c r="AR283" s="2"/>
      <c r="AS283" s="2"/>
      <c r="AT283" s="2"/>
      <c r="AU283" s="2"/>
      <c r="AV283" s="2"/>
      <c r="AW283" s="2"/>
      <c r="AX283" s="1"/>
    </row>
    <row r="284" spans="1:50" x14ac:dyDescent="0.4">
      <c r="A284" s="1" t="str">
        <f t="shared" si="15"/>
        <v>八代</v>
      </c>
      <c r="B284" s="1" t="str">
        <f>"上野耳鼻咽喉科医院"</f>
        <v>上野耳鼻咽喉科医院</v>
      </c>
      <c r="C284" s="1" t="str">
        <f>"866-0861"</f>
        <v>866-0861</v>
      </c>
      <c r="D284" s="1" t="s">
        <v>396</v>
      </c>
      <c r="E284" s="1" t="str">
        <f>"0965341814    "</f>
        <v xml:space="preserve">0965341814    </v>
      </c>
      <c r="F284" s="1" t="str">
        <f>"医療法人社団博恵会"</f>
        <v>医療法人社団博恵会</v>
      </c>
      <c r="G284" s="1" t="str">
        <f>"H17.04.01"</f>
        <v>H17.04.01</v>
      </c>
      <c r="H284" s="1" t="str">
        <f t="shared" si="16"/>
        <v>開設中</v>
      </c>
      <c r="I284" s="1">
        <v>0</v>
      </c>
      <c r="J284" s="1">
        <v>0</v>
      </c>
      <c r="K284" s="1">
        <v>0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>
        <v>1</v>
      </c>
      <c r="AP284" s="2">
        <v>1</v>
      </c>
      <c r="AQ284" s="2"/>
      <c r="AR284" s="2"/>
      <c r="AS284" s="2"/>
      <c r="AT284" s="2"/>
      <c r="AU284" s="2"/>
      <c r="AV284" s="2"/>
      <c r="AW284" s="2"/>
      <c r="AX284" s="1"/>
    </row>
    <row r="285" spans="1:50" x14ac:dyDescent="0.4">
      <c r="A285" s="1" t="str">
        <f t="shared" si="15"/>
        <v>八代</v>
      </c>
      <c r="B285" s="1" t="str">
        <f>"大手町腎・高血圧クリニック"</f>
        <v>大手町腎・高血圧クリニック</v>
      </c>
      <c r="C285" s="1" t="str">
        <f>"866-0852"</f>
        <v>866-0852</v>
      </c>
      <c r="D285" s="1" t="s">
        <v>397</v>
      </c>
      <c r="E285" s="1" t="str">
        <f>"0965322606    "</f>
        <v xml:space="preserve">0965322606    </v>
      </c>
      <c r="F285" s="1" t="str">
        <f>"医療法人社団腎愛会"</f>
        <v>医療法人社団腎愛会</v>
      </c>
      <c r="G285" s="1" t="str">
        <f>"H06.12.01"</f>
        <v>H06.12.01</v>
      </c>
      <c r="H285" s="1" t="str">
        <f t="shared" si="16"/>
        <v>開設中</v>
      </c>
      <c r="I285" s="1">
        <v>10</v>
      </c>
      <c r="J285" s="1">
        <v>10</v>
      </c>
      <c r="K285" s="1">
        <v>0</v>
      </c>
      <c r="L285" s="2">
        <v>1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1" t="s">
        <v>49</v>
      </c>
    </row>
    <row r="286" spans="1:50" x14ac:dyDescent="0.4">
      <c r="A286" s="1" t="str">
        <f t="shared" si="15"/>
        <v>八代</v>
      </c>
      <c r="B286" s="1" t="str">
        <f>"大平小児科医院"</f>
        <v>大平小児科医院</v>
      </c>
      <c r="C286" s="1" t="str">
        <f>"866-0055"</f>
        <v>866-0055</v>
      </c>
      <c r="D286" s="1" t="s">
        <v>398</v>
      </c>
      <c r="E286" s="1" t="str">
        <f>"0965317200    "</f>
        <v xml:space="preserve">0965317200    </v>
      </c>
      <c r="F286" s="1" t="str">
        <f>"医療法人社団　大平小児科医院"</f>
        <v>医療法人社団　大平小児科医院</v>
      </c>
      <c r="G286" s="1" t="str">
        <f>"H12.06.01"</f>
        <v>H12.06.01</v>
      </c>
      <c r="H286" s="1" t="str">
        <f t="shared" si="16"/>
        <v>開設中</v>
      </c>
      <c r="I286" s="1">
        <v>0</v>
      </c>
      <c r="J286" s="1">
        <v>0</v>
      </c>
      <c r="K286" s="1">
        <v>0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>
        <v>1</v>
      </c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1"/>
    </row>
    <row r="287" spans="1:50" x14ac:dyDescent="0.4">
      <c r="A287" s="1" t="str">
        <f t="shared" si="15"/>
        <v>八代</v>
      </c>
      <c r="B287" s="1" t="str">
        <f>"岡崎皮ふ科医院"</f>
        <v>岡崎皮ふ科医院</v>
      </c>
      <c r="C287" s="1" t="str">
        <f>"866-0885"</f>
        <v>866-0885</v>
      </c>
      <c r="D287" s="1" t="s">
        <v>399</v>
      </c>
      <c r="E287" s="1" t="str">
        <f>"0965310277    "</f>
        <v xml:space="preserve">0965310277    </v>
      </c>
      <c r="F287" s="1" t="str">
        <f>"医療法人社団　岡崎皮ふ科医院"</f>
        <v>医療法人社団　岡崎皮ふ科医院</v>
      </c>
      <c r="G287" s="1" t="str">
        <f>"H09.12.01"</f>
        <v>H09.12.01</v>
      </c>
      <c r="H287" s="1" t="str">
        <f t="shared" si="16"/>
        <v>開設中</v>
      </c>
      <c r="I287" s="1">
        <v>0</v>
      </c>
      <c r="J287" s="1">
        <v>0</v>
      </c>
      <c r="K287" s="1">
        <v>0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>
        <v>1</v>
      </c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1"/>
    </row>
    <row r="288" spans="1:50" x14ac:dyDescent="0.4">
      <c r="A288" s="1" t="str">
        <f t="shared" si="15"/>
        <v>八代</v>
      </c>
      <c r="B288" s="1" t="str">
        <f>"岡村医院"</f>
        <v>岡村医院</v>
      </c>
      <c r="C288" s="1" t="str">
        <f>"866-0875"</f>
        <v>866-0875</v>
      </c>
      <c r="D288" s="1" t="s">
        <v>400</v>
      </c>
      <c r="E288" s="1" t="str">
        <f>"0965395665    "</f>
        <v xml:space="preserve">0965395665    </v>
      </c>
      <c r="F288" s="1" t="str">
        <f>"岡村　健二"</f>
        <v>岡村　健二</v>
      </c>
      <c r="G288" s="1" t="str">
        <f>"H15.09.17"</f>
        <v>H15.09.17</v>
      </c>
      <c r="H288" s="1" t="str">
        <f t="shared" si="16"/>
        <v>開設中</v>
      </c>
      <c r="I288" s="1">
        <v>0</v>
      </c>
      <c r="J288" s="1">
        <v>0</v>
      </c>
      <c r="K288" s="1">
        <v>0</v>
      </c>
      <c r="L288" s="2">
        <v>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>
        <v>1</v>
      </c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1"/>
    </row>
    <row r="289" spans="1:50" x14ac:dyDescent="0.4">
      <c r="A289" s="1" t="str">
        <f t="shared" si="15"/>
        <v>八代</v>
      </c>
      <c r="B289" s="1" t="str">
        <f>"小沢内科医院"</f>
        <v>小沢内科医院</v>
      </c>
      <c r="C289" s="1" t="str">
        <f>"866-0877"</f>
        <v>866-0877</v>
      </c>
      <c r="D289" s="1" t="s">
        <v>401</v>
      </c>
      <c r="E289" s="1" t="str">
        <f>"0965355382    "</f>
        <v xml:space="preserve">0965355382    </v>
      </c>
      <c r="F289" s="1" t="str">
        <f>"小沢　隆昭"</f>
        <v>小沢　隆昭</v>
      </c>
      <c r="G289" s="1" t="str">
        <f>"H10.04.01"</f>
        <v>H10.04.01</v>
      </c>
      <c r="H289" s="1" t="str">
        <f t="shared" si="16"/>
        <v>開設中</v>
      </c>
      <c r="I289" s="1">
        <v>0</v>
      </c>
      <c r="J289" s="1">
        <v>0</v>
      </c>
      <c r="K289" s="1">
        <v>0</v>
      </c>
      <c r="L289" s="2">
        <v>1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>
        <v>1</v>
      </c>
      <c r="AX289" s="1"/>
    </row>
    <row r="290" spans="1:50" x14ac:dyDescent="0.4">
      <c r="A290" s="1" t="str">
        <f t="shared" si="15"/>
        <v>八代</v>
      </c>
      <c r="B290" s="1" t="str">
        <f>"片岡レディスクリニック"</f>
        <v>片岡レディスクリニック</v>
      </c>
      <c r="C290" s="1" t="str">
        <f>"866-0861"</f>
        <v>866-0861</v>
      </c>
      <c r="D290" s="1" t="s">
        <v>402</v>
      </c>
      <c r="E290" s="1" t="str">
        <f>"0965322344    "</f>
        <v xml:space="preserve">0965322344    </v>
      </c>
      <c r="F290" s="1" t="str">
        <f>"医療法人　セント・ソフィア"</f>
        <v>医療法人　セント・ソフィア</v>
      </c>
      <c r="G290" s="1" t="str">
        <f>"H15.10.01"</f>
        <v>H15.10.01</v>
      </c>
      <c r="H290" s="1" t="str">
        <f t="shared" si="16"/>
        <v>開設中</v>
      </c>
      <c r="I290" s="1">
        <v>18</v>
      </c>
      <c r="J290" s="1">
        <v>18</v>
      </c>
      <c r="K290" s="1">
        <v>0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>
        <v>1</v>
      </c>
      <c r="AM290" s="2">
        <v>1</v>
      </c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1"/>
    </row>
    <row r="291" spans="1:50" x14ac:dyDescent="0.4">
      <c r="A291" s="1" t="str">
        <f t="shared" si="15"/>
        <v>八代</v>
      </c>
      <c r="B291" s="1" t="str">
        <f>"きはら眼科"</f>
        <v>きはら眼科</v>
      </c>
      <c r="C291" s="1" t="str">
        <f>"866-0831"</f>
        <v>866-0831</v>
      </c>
      <c r="D291" s="1" t="s">
        <v>403</v>
      </c>
      <c r="E291" s="1" t="str">
        <f>"0965323946    "</f>
        <v xml:space="preserve">0965323946    </v>
      </c>
      <c r="F291" s="1" t="str">
        <f>"木原　英二"</f>
        <v>木原　英二</v>
      </c>
      <c r="G291" s="1" t="str">
        <f>"H09.02.18"</f>
        <v>H09.02.18</v>
      </c>
      <c r="H291" s="1" t="str">
        <f t="shared" si="16"/>
        <v>開設中</v>
      </c>
      <c r="I291" s="1">
        <v>0</v>
      </c>
      <c r="J291" s="1">
        <v>0</v>
      </c>
      <c r="K291" s="1">
        <v>0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>
        <v>1</v>
      </c>
      <c r="AO291" s="2"/>
      <c r="AP291" s="2"/>
      <c r="AQ291" s="2"/>
      <c r="AR291" s="2"/>
      <c r="AS291" s="2"/>
      <c r="AT291" s="2"/>
      <c r="AU291" s="2"/>
      <c r="AV291" s="2"/>
      <c r="AW291" s="2"/>
      <c r="AX291" s="1"/>
    </row>
    <row r="292" spans="1:50" x14ac:dyDescent="0.4">
      <c r="A292" s="1" t="str">
        <f t="shared" si="15"/>
        <v>八代</v>
      </c>
      <c r="B292" s="1" t="str">
        <f>"久原外科胃腸科医院"</f>
        <v>久原外科胃腸科医院</v>
      </c>
      <c r="C292" s="1" t="str">
        <f>"866-0081"</f>
        <v>866-0081</v>
      </c>
      <c r="D292" s="1" t="s">
        <v>404</v>
      </c>
      <c r="E292" s="1" t="str">
        <f>"0965351161    "</f>
        <v xml:space="preserve">0965351161    </v>
      </c>
      <c r="F292" s="1" t="str">
        <f>"医療法人社団　久原会"</f>
        <v>医療法人社団　久原会</v>
      </c>
      <c r="G292" s="1" t="str">
        <f>"H03.06.01"</f>
        <v>H03.06.01</v>
      </c>
      <c r="H292" s="1" t="str">
        <f t="shared" si="16"/>
        <v>開設中</v>
      </c>
      <c r="I292" s="1">
        <v>19</v>
      </c>
      <c r="J292" s="1">
        <v>13</v>
      </c>
      <c r="K292" s="1">
        <v>6</v>
      </c>
      <c r="L292" s="2"/>
      <c r="M292" s="2"/>
      <c r="N292" s="2"/>
      <c r="O292" s="2"/>
      <c r="P292" s="2"/>
      <c r="Q292" s="2"/>
      <c r="R292" s="2"/>
      <c r="S292" s="2">
        <v>1</v>
      </c>
      <c r="T292" s="2"/>
      <c r="U292" s="2"/>
      <c r="V292" s="2"/>
      <c r="W292" s="2"/>
      <c r="X292" s="2">
        <v>1</v>
      </c>
      <c r="Y292" s="2">
        <v>1</v>
      </c>
      <c r="Z292" s="2"/>
      <c r="AA292" s="2"/>
      <c r="AB292" s="2"/>
      <c r="AC292" s="2"/>
      <c r="AD292" s="2"/>
      <c r="AE292" s="2"/>
      <c r="AF292" s="2"/>
      <c r="AG292" s="2">
        <v>1</v>
      </c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>
        <v>1</v>
      </c>
      <c r="AS292" s="2"/>
      <c r="AT292" s="2"/>
      <c r="AU292" s="2"/>
      <c r="AV292" s="2"/>
      <c r="AW292" s="2"/>
      <c r="AX292" s="1"/>
    </row>
    <row r="293" spans="1:50" x14ac:dyDescent="0.4">
      <c r="A293" s="1" t="str">
        <f t="shared" si="15"/>
        <v>八代</v>
      </c>
      <c r="B293" s="1" t="str">
        <f>"久原内科消化器科クリニック"</f>
        <v>久原内科消化器科クリニック</v>
      </c>
      <c r="C293" s="1" t="str">
        <f>"866-0085"</f>
        <v>866-0085</v>
      </c>
      <c r="D293" s="1" t="s">
        <v>405</v>
      </c>
      <c r="E293" s="1" t="str">
        <f>"0965322218    "</f>
        <v xml:space="preserve">0965322218    </v>
      </c>
      <c r="F293" s="1" t="str">
        <f>"医療法人社団　久原内科消化器科クリニック"</f>
        <v>医療法人社団　久原内科消化器科クリニック</v>
      </c>
      <c r="G293" s="1" t="str">
        <f>"H04.09.01"</f>
        <v>H04.09.01</v>
      </c>
      <c r="H293" s="1" t="str">
        <f t="shared" si="16"/>
        <v>開設中</v>
      </c>
      <c r="I293" s="1">
        <v>0</v>
      </c>
      <c r="J293" s="1">
        <v>0</v>
      </c>
      <c r="K293" s="1">
        <v>0</v>
      </c>
      <c r="L293" s="2">
        <v>1</v>
      </c>
      <c r="M293" s="2"/>
      <c r="N293" s="2"/>
      <c r="O293" s="2"/>
      <c r="P293" s="2"/>
      <c r="Q293" s="2"/>
      <c r="R293" s="2">
        <v>1</v>
      </c>
      <c r="S293" s="2"/>
      <c r="T293" s="2"/>
      <c r="U293" s="2"/>
      <c r="V293" s="2"/>
      <c r="W293" s="2"/>
      <c r="X293" s="2">
        <v>1</v>
      </c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1" t="s">
        <v>77</v>
      </c>
    </row>
    <row r="294" spans="1:50" x14ac:dyDescent="0.4">
      <c r="A294" s="1" t="str">
        <f t="shared" si="15"/>
        <v>八代</v>
      </c>
      <c r="B294" s="1" t="str">
        <f>"熊本県八代保健所"</f>
        <v>熊本県八代保健所</v>
      </c>
      <c r="C294" s="1" t="str">
        <f>"866-0811"</f>
        <v>866-0811</v>
      </c>
      <c r="D294" s="1" t="s">
        <v>406</v>
      </c>
      <c r="E294" s="1" t="str">
        <f>"0965333197    "</f>
        <v xml:space="preserve">0965333197    </v>
      </c>
      <c r="F294" s="1" t="str">
        <f>"熊本県"</f>
        <v>熊本県</v>
      </c>
      <c r="G294" s="1" t="str">
        <f>"H08.09.17"</f>
        <v>H08.09.17</v>
      </c>
      <c r="H294" s="1" t="str">
        <f t="shared" si="16"/>
        <v>開設中</v>
      </c>
      <c r="I294" s="1">
        <v>0</v>
      </c>
      <c r="J294" s="1">
        <v>0</v>
      </c>
      <c r="K294" s="1">
        <v>0</v>
      </c>
      <c r="L294" s="2">
        <v>1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1"/>
    </row>
    <row r="295" spans="1:50" x14ac:dyDescent="0.4">
      <c r="A295" s="1" t="str">
        <f t="shared" si="15"/>
        <v>八代</v>
      </c>
      <c r="B295" s="1" t="str">
        <f>"桑原医院"</f>
        <v>桑原医院</v>
      </c>
      <c r="C295" s="1" t="str">
        <f>"869-5151"</f>
        <v>869-5151</v>
      </c>
      <c r="D295" s="1" t="s">
        <v>407</v>
      </c>
      <c r="E295" s="1" t="str">
        <f>"0965380302    "</f>
        <v xml:space="preserve">0965380302    </v>
      </c>
      <c r="F295" s="1" t="str">
        <f>"桑原　奥"</f>
        <v>桑原　奥</v>
      </c>
      <c r="G295" s="1" t="str">
        <f>"S36.05.01"</f>
        <v>S36.05.01</v>
      </c>
      <c r="H295" s="1" t="str">
        <f t="shared" si="16"/>
        <v>開設中</v>
      </c>
      <c r="I295" s="1">
        <v>0</v>
      </c>
      <c r="J295" s="1">
        <v>0</v>
      </c>
      <c r="K295" s="1">
        <v>0</v>
      </c>
      <c r="L295" s="2">
        <v>1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1"/>
    </row>
    <row r="296" spans="1:50" x14ac:dyDescent="0.4">
      <c r="A296" s="1" t="str">
        <f t="shared" si="15"/>
        <v>八代</v>
      </c>
      <c r="B296" s="1" t="str">
        <f>"八代レディースクリニック"</f>
        <v>八代レディースクリニック</v>
      </c>
      <c r="C296" s="1" t="str">
        <f>"866-0852"</f>
        <v>866-0852</v>
      </c>
      <c r="D296" s="1" t="s">
        <v>408</v>
      </c>
      <c r="E296" s="1" t="str">
        <f>"0965323405    "</f>
        <v xml:space="preserve">0965323405    </v>
      </c>
      <c r="F296" s="1" t="str">
        <f>"医療法人社団　八代愛育会"</f>
        <v>医療法人社団　八代愛育会</v>
      </c>
      <c r="G296" s="1" t="str">
        <f>"H03.02.01"</f>
        <v>H03.02.01</v>
      </c>
      <c r="H296" s="1" t="str">
        <f t="shared" si="16"/>
        <v>開設中</v>
      </c>
      <c r="I296" s="1">
        <v>19</v>
      </c>
      <c r="J296" s="1">
        <v>19</v>
      </c>
      <c r="K296" s="1">
        <v>0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>
        <v>1</v>
      </c>
      <c r="AM296" s="2">
        <v>1</v>
      </c>
      <c r="AN296" s="2"/>
      <c r="AO296" s="2"/>
      <c r="AP296" s="2"/>
      <c r="AQ296" s="2"/>
      <c r="AR296" s="2"/>
      <c r="AS296" s="2"/>
      <c r="AT296" s="2"/>
      <c r="AU296" s="2"/>
      <c r="AV296" s="2"/>
      <c r="AW296" s="2">
        <v>1</v>
      </c>
      <c r="AX296" s="1"/>
    </row>
    <row r="297" spans="1:50" x14ac:dyDescent="0.4">
      <c r="A297" s="1" t="str">
        <f t="shared" si="15"/>
        <v>八代</v>
      </c>
      <c r="B297" s="1" t="str">
        <f>"くわはら小児科"</f>
        <v>くわはら小児科</v>
      </c>
      <c r="C297" s="1" t="str">
        <f>"866-0081"</f>
        <v>866-0081</v>
      </c>
      <c r="D297" s="1" t="s">
        <v>409</v>
      </c>
      <c r="E297" s="1" t="str">
        <f>"0965325000    "</f>
        <v xml:space="preserve">0965325000    </v>
      </c>
      <c r="F297" s="1" t="str">
        <f>"医療法人社団　くわはら小児科"</f>
        <v>医療法人社団　くわはら小児科</v>
      </c>
      <c r="G297" s="1" t="str">
        <f>"H06.02.01"</f>
        <v>H06.02.01</v>
      </c>
      <c r="H297" s="1" t="str">
        <f t="shared" si="16"/>
        <v>開設中</v>
      </c>
      <c r="I297" s="1">
        <v>0</v>
      </c>
      <c r="J297" s="1">
        <v>0</v>
      </c>
      <c r="K297" s="1">
        <v>0</v>
      </c>
      <c r="L297" s="2">
        <v>1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>
        <v>1</v>
      </c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1"/>
    </row>
    <row r="298" spans="1:50" x14ac:dyDescent="0.4">
      <c r="A298" s="1" t="str">
        <f t="shared" si="15"/>
        <v>八代</v>
      </c>
      <c r="B298" s="1" t="str">
        <f>"軽費老人ホームすずらん苑医務室"</f>
        <v>軽費老人ホームすずらん苑医務室</v>
      </c>
      <c r="C298" s="1" t="str">
        <f>"866-0073"</f>
        <v>866-0073</v>
      </c>
      <c r="D298" s="1" t="s">
        <v>410</v>
      </c>
      <c r="E298" s="1" t="str">
        <f>"0965333813    "</f>
        <v xml:space="preserve">0965333813    </v>
      </c>
      <c r="F298" s="1" t="str">
        <f>"社会福祉法人　天龍会"</f>
        <v>社会福祉法人　天龍会</v>
      </c>
      <c r="G298" s="1" t="str">
        <f>"H01.05.30"</f>
        <v>H01.05.30</v>
      </c>
      <c r="H298" s="1" t="str">
        <f t="shared" si="16"/>
        <v>開設中</v>
      </c>
      <c r="I298" s="1">
        <v>0</v>
      </c>
      <c r="J298" s="1">
        <v>0</v>
      </c>
      <c r="K298" s="1">
        <v>0</v>
      </c>
      <c r="L298" s="2">
        <v>1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1"/>
    </row>
    <row r="299" spans="1:50" x14ac:dyDescent="0.4">
      <c r="A299" s="1" t="str">
        <f t="shared" si="15"/>
        <v>八代</v>
      </c>
      <c r="B299" s="1" t="str">
        <f>"相良中村クリニック"</f>
        <v>相良中村クリニック</v>
      </c>
      <c r="C299" s="1" t="str">
        <f>"866-0852"</f>
        <v>866-0852</v>
      </c>
      <c r="D299" s="1" t="s">
        <v>411</v>
      </c>
      <c r="E299" s="1" t="str">
        <f>"0965324862    "</f>
        <v xml:space="preserve">0965324862    </v>
      </c>
      <c r="F299" s="1" t="str">
        <f>"医療法人社団　相良中村クリニック"</f>
        <v>医療法人社団　相良中村クリニック</v>
      </c>
      <c r="G299" s="1" t="str">
        <f>"H06.07.01"</f>
        <v>H06.07.01</v>
      </c>
      <c r="H299" s="1" t="str">
        <f t="shared" si="16"/>
        <v>開設中</v>
      </c>
      <c r="I299" s="1">
        <v>0</v>
      </c>
      <c r="J299" s="1">
        <v>0</v>
      </c>
      <c r="K299" s="1">
        <v>0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>
        <v>1</v>
      </c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1"/>
    </row>
    <row r="300" spans="1:50" x14ac:dyDescent="0.4">
      <c r="A300" s="1" t="str">
        <f t="shared" si="15"/>
        <v>八代</v>
      </c>
      <c r="B300" s="1" t="str">
        <f>"障害者支援施設かんねさこ荘付属診療所"</f>
        <v>障害者支援施設かんねさこ荘付属診療所</v>
      </c>
      <c r="C300" s="1" t="str">
        <f>"869-5172"</f>
        <v>869-5172</v>
      </c>
      <c r="D300" s="1" t="s">
        <v>412</v>
      </c>
      <c r="E300" s="1" t="str">
        <f>"0965389011    "</f>
        <v xml:space="preserve">0965389011    </v>
      </c>
      <c r="F300" s="1" t="str">
        <f>"社会福祉法人　日新会"</f>
        <v>社会福祉法人　日新会</v>
      </c>
      <c r="G300" s="1" t="str">
        <f>"S55.04.01"</f>
        <v>S55.04.01</v>
      </c>
      <c r="H300" s="1" t="str">
        <f t="shared" si="16"/>
        <v>開設中</v>
      </c>
      <c r="I300" s="1">
        <v>0</v>
      </c>
      <c r="J300" s="1">
        <v>0</v>
      </c>
      <c r="K300" s="1">
        <v>0</v>
      </c>
      <c r="L300" s="2">
        <v>1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1"/>
    </row>
    <row r="301" spans="1:50" x14ac:dyDescent="0.4">
      <c r="A301" s="1" t="str">
        <f t="shared" si="15"/>
        <v>八代</v>
      </c>
      <c r="B301" s="1" t="str">
        <f>"磧本胃腸科外科医院"</f>
        <v>磧本胃腸科外科医院</v>
      </c>
      <c r="C301" s="1" t="str">
        <f>"866-0883"</f>
        <v>866-0883</v>
      </c>
      <c r="D301" s="1" t="s">
        <v>413</v>
      </c>
      <c r="E301" s="1" t="str">
        <f>"0965330321    "</f>
        <v xml:space="preserve">0965330321    </v>
      </c>
      <c r="F301" s="1" t="str">
        <f>"磧本　信男"</f>
        <v>磧本　信男</v>
      </c>
      <c r="G301" s="1" t="str">
        <f>"S62.08.31"</f>
        <v>S62.08.31</v>
      </c>
      <c r="H301" s="1" t="str">
        <f t="shared" si="16"/>
        <v>開設中</v>
      </c>
      <c r="I301" s="1">
        <v>17</v>
      </c>
      <c r="J301" s="1">
        <v>17</v>
      </c>
      <c r="K301" s="1">
        <v>0</v>
      </c>
      <c r="L301" s="2">
        <v>1</v>
      </c>
      <c r="M301" s="2"/>
      <c r="N301" s="2"/>
      <c r="O301" s="2"/>
      <c r="P301" s="2"/>
      <c r="Q301" s="2"/>
      <c r="R301" s="2"/>
      <c r="S301" s="2">
        <v>1</v>
      </c>
      <c r="T301" s="2"/>
      <c r="U301" s="2"/>
      <c r="V301" s="2"/>
      <c r="W301" s="2"/>
      <c r="X301" s="2">
        <v>1</v>
      </c>
      <c r="Y301" s="2"/>
      <c r="Z301" s="2"/>
      <c r="AA301" s="2"/>
      <c r="AB301" s="2"/>
      <c r="AC301" s="2"/>
      <c r="AD301" s="2"/>
      <c r="AE301" s="2"/>
      <c r="AF301" s="2"/>
      <c r="AG301" s="2">
        <v>1</v>
      </c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1"/>
    </row>
    <row r="302" spans="1:50" x14ac:dyDescent="0.4">
      <c r="A302" s="1" t="str">
        <f t="shared" si="15"/>
        <v>八代</v>
      </c>
      <c r="B302" s="1" t="str">
        <f>"たかの呼吸器科内科クリニック"</f>
        <v>たかの呼吸器科内科クリニック</v>
      </c>
      <c r="C302" s="1" t="str">
        <f>"866-0884"</f>
        <v>866-0884</v>
      </c>
      <c r="D302" s="1" t="s">
        <v>414</v>
      </c>
      <c r="E302" s="1" t="str">
        <f>"0965322720    "</f>
        <v xml:space="preserve">0965322720    </v>
      </c>
      <c r="F302" s="1" t="str">
        <f>"高野　義久"</f>
        <v>高野　義久</v>
      </c>
      <c r="G302" s="1" t="str">
        <f>"H12.06.01"</f>
        <v>H12.06.01</v>
      </c>
      <c r="H302" s="1" t="str">
        <f t="shared" si="16"/>
        <v>開設中</v>
      </c>
      <c r="I302" s="1">
        <v>0</v>
      </c>
      <c r="J302" s="1">
        <v>0</v>
      </c>
      <c r="K302" s="1">
        <v>0</v>
      </c>
      <c r="L302" s="2">
        <v>1</v>
      </c>
      <c r="M302" s="2"/>
      <c r="N302" s="2"/>
      <c r="O302" s="2"/>
      <c r="P302" s="2"/>
      <c r="Q302" s="2">
        <v>1</v>
      </c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1"/>
    </row>
    <row r="303" spans="1:50" x14ac:dyDescent="0.4">
      <c r="A303" s="1" t="str">
        <f t="shared" si="15"/>
        <v>八代</v>
      </c>
      <c r="B303" s="1" t="str">
        <f>"高野整形外科"</f>
        <v>高野整形外科</v>
      </c>
      <c r="C303" s="1" t="str">
        <f>"866-0861"</f>
        <v>866-0861</v>
      </c>
      <c r="D303" s="1" t="s">
        <v>415</v>
      </c>
      <c r="E303" s="1" t="str">
        <f>"0965322014    "</f>
        <v xml:space="preserve">0965322014    </v>
      </c>
      <c r="F303" s="1" t="str">
        <f>"医療法人社団　晴洋会"</f>
        <v>医療法人社団　晴洋会</v>
      </c>
      <c r="G303" s="1" t="str">
        <f>"H13.07.16"</f>
        <v>H13.07.16</v>
      </c>
      <c r="H303" s="1" t="str">
        <f t="shared" si="16"/>
        <v>開設中</v>
      </c>
      <c r="I303" s="1">
        <v>0</v>
      </c>
      <c r="J303" s="1">
        <v>0</v>
      </c>
      <c r="K303" s="1">
        <v>0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>
        <v>1</v>
      </c>
      <c r="W303" s="2"/>
      <c r="X303" s="2"/>
      <c r="Y303" s="2">
        <v>1</v>
      </c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>
        <v>1</v>
      </c>
      <c r="AR303" s="2"/>
      <c r="AS303" s="2"/>
      <c r="AT303" s="2"/>
      <c r="AU303" s="2"/>
      <c r="AV303" s="2"/>
      <c r="AW303" s="2"/>
      <c r="AX303" s="1"/>
    </row>
    <row r="304" spans="1:50" x14ac:dyDescent="0.4">
      <c r="A304" s="1" t="str">
        <f t="shared" si="15"/>
        <v>八代</v>
      </c>
      <c r="B304" s="1" t="str">
        <f>"田中泌尿器科外科医院"</f>
        <v>田中泌尿器科外科医院</v>
      </c>
      <c r="C304" s="1" t="str">
        <f>"866-0834"</f>
        <v>866-0834</v>
      </c>
      <c r="D304" s="1" t="s">
        <v>416</v>
      </c>
      <c r="E304" s="1" t="str">
        <f>"0965331100    "</f>
        <v xml:space="preserve">0965331100    </v>
      </c>
      <c r="F304" s="1" t="str">
        <f>"医療法人社団　田中泌尿器科外科医院"</f>
        <v>医療法人社団　田中泌尿器科外科医院</v>
      </c>
      <c r="G304" s="1" t="str">
        <f>"H10.07.01"</f>
        <v>H10.07.01</v>
      </c>
      <c r="H304" s="1" t="str">
        <f t="shared" si="16"/>
        <v>開設中</v>
      </c>
      <c r="I304" s="1">
        <v>14</v>
      </c>
      <c r="J304" s="1">
        <v>14</v>
      </c>
      <c r="K304" s="1">
        <v>0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>
        <v>1</v>
      </c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>
        <v>1</v>
      </c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1"/>
    </row>
    <row r="305" spans="1:50" s="7" customFormat="1" x14ac:dyDescent="0.4">
      <c r="A305" s="5" t="str">
        <f t="shared" si="15"/>
        <v>八代</v>
      </c>
      <c r="B305" s="5" t="str">
        <f>"田渕整形外科医院"</f>
        <v>田渕整形外科医院</v>
      </c>
      <c r="C305" s="5" t="str">
        <f>"866-0072"</f>
        <v>866-0072</v>
      </c>
      <c r="D305" s="5" t="s">
        <v>417</v>
      </c>
      <c r="E305" s="5" t="str">
        <f>"0965324897    "</f>
        <v xml:space="preserve">0965324897    </v>
      </c>
      <c r="F305" s="5" t="str">
        <f>"医療法人社団　田渕会"</f>
        <v>医療法人社団　田渕会</v>
      </c>
      <c r="G305" s="5" t="str">
        <f>"H03.10.01"</f>
        <v>H03.10.01</v>
      </c>
      <c r="H305" s="5" t="str">
        <f t="shared" si="16"/>
        <v>開設中</v>
      </c>
      <c r="I305" s="5">
        <v>0</v>
      </c>
      <c r="J305" s="5">
        <v>0</v>
      </c>
      <c r="K305" s="5">
        <v>0</v>
      </c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>
        <v>1</v>
      </c>
      <c r="W305" s="6"/>
      <c r="X305" s="6"/>
      <c r="Y305" s="6">
        <v>1</v>
      </c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>
        <v>1</v>
      </c>
      <c r="AR305" s="6"/>
      <c r="AS305" s="6"/>
      <c r="AT305" s="6"/>
      <c r="AU305" s="6"/>
      <c r="AV305" s="6"/>
      <c r="AW305" s="6"/>
      <c r="AX305" s="5"/>
    </row>
    <row r="306" spans="1:50" s="7" customFormat="1" x14ac:dyDescent="0.4">
      <c r="A306" s="5" t="str">
        <f t="shared" si="15"/>
        <v>八代</v>
      </c>
      <c r="B306" s="5" t="str">
        <f>"田渕内科クリニック"</f>
        <v>田渕内科クリニック</v>
      </c>
      <c r="C306" s="5" t="str">
        <f>"866-0072"</f>
        <v>866-0072</v>
      </c>
      <c r="D306" s="5" t="s">
        <v>418</v>
      </c>
      <c r="E306" s="5" t="str">
        <f>"0965336727    "</f>
        <v xml:space="preserve">0965336727    </v>
      </c>
      <c r="F306" s="5" t="str">
        <f>"田渕　昭典"</f>
        <v>田渕　昭典</v>
      </c>
      <c r="G306" s="5" t="str">
        <f>"H03.09.18"</f>
        <v>H03.09.18</v>
      </c>
      <c r="H306" s="5" t="str">
        <f t="shared" si="16"/>
        <v>開設中</v>
      </c>
      <c r="I306" s="5">
        <v>0</v>
      </c>
      <c r="J306" s="5">
        <v>0</v>
      </c>
      <c r="K306" s="5">
        <v>0</v>
      </c>
      <c r="L306" s="6">
        <v>1</v>
      </c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5"/>
    </row>
    <row r="307" spans="1:50" s="7" customFormat="1" x14ac:dyDescent="0.4">
      <c r="A307" s="5" t="str">
        <f t="shared" si="15"/>
        <v>八代</v>
      </c>
      <c r="B307" s="5" t="str">
        <f>"特別養護老人ホームあさひ園医務室"</f>
        <v>特別養護老人ホームあさひ園医務室</v>
      </c>
      <c r="C307" s="5" t="str">
        <f>"866-0824"</f>
        <v>866-0824</v>
      </c>
      <c r="D307" s="5" t="s">
        <v>419</v>
      </c>
      <c r="E307" s="5" t="str">
        <f>"0965355757    "</f>
        <v xml:space="preserve">0965355757    </v>
      </c>
      <c r="F307" s="5" t="str">
        <f>"社会福祉法人　郷寿会"</f>
        <v>社会福祉法人　郷寿会</v>
      </c>
      <c r="G307" s="5" t="str">
        <f>"H01.07.01"</f>
        <v>H01.07.01</v>
      </c>
      <c r="H307" s="5" t="str">
        <f t="shared" si="16"/>
        <v>開設中</v>
      </c>
      <c r="I307" s="5">
        <v>0</v>
      </c>
      <c r="J307" s="5">
        <v>0</v>
      </c>
      <c r="K307" s="5">
        <v>0</v>
      </c>
      <c r="L307" s="6">
        <v>1</v>
      </c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5"/>
    </row>
    <row r="308" spans="1:50" s="7" customFormat="1" x14ac:dyDescent="0.4">
      <c r="A308" s="5" t="str">
        <f t="shared" si="15"/>
        <v>八代</v>
      </c>
      <c r="B308" s="5" t="str">
        <f>"特別養護老人ホーム行楽園付属診療所"</f>
        <v>特別養護老人ホーム行楽園付属診療所</v>
      </c>
      <c r="C308" s="5" t="str">
        <f>"869-5142"</f>
        <v>869-5142</v>
      </c>
      <c r="D308" s="5" t="s">
        <v>420</v>
      </c>
      <c r="E308" s="5" t="str">
        <f>"0965382011    "</f>
        <v xml:space="preserve">0965382011    </v>
      </c>
      <c r="F308" s="5" t="str">
        <f>"社会福祉法人　敬愛会"</f>
        <v>社会福祉法人　敬愛会</v>
      </c>
      <c r="G308" s="5" t="str">
        <f>"S48.05.18"</f>
        <v>S48.05.18</v>
      </c>
      <c r="H308" s="5" t="str">
        <f t="shared" si="16"/>
        <v>開設中</v>
      </c>
      <c r="I308" s="5">
        <v>0</v>
      </c>
      <c r="J308" s="5">
        <v>0</v>
      </c>
      <c r="K308" s="5">
        <v>0</v>
      </c>
      <c r="L308" s="6">
        <v>1</v>
      </c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5"/>
    </row>
    <row r="309" spans="1:50" s="7" customFormat="1" x14ac:dyDescent="0.4">
      <c r="A309" s="5" t="str">
        <f t="shared" si="15"/>
        <v>八代</v>
      </c>
      <c r="B309" s="5" t="str">
        <f>"特別養護老人ホームすずらんの里医務室"</f>
        <v>特別養護老人ホームすずらんの里医務室</v>
      </c>
      <c r="C309" s="5" t="str">
        <f>"869-5161"</f>
        <v>869-5161</v>
      </c>
      <c r="D309" s="5" t="s">
        <v>421</v>
      </c>
      <c r="E309" s="5" t="str">
        <f>"0965397511    "</f>
        <v xml:space="preserve">0965397511    </v>
      </c>
      <c r="F309" s="5" t="str">
        <f>"社会福祉法人　天龍会"</f>
        <v>社会福祉法人　天龍会</v>
      </c>
      <c r="G309" s="5" t="str">
        <f>"H11.04.01"</f>
        <v>H11.04.01</v>
      </c>
      <c r="H309" s="5" t="str">
        <f t="shared" si="16"/>
        <v>開設中</v>
      </c>
      <c r="I309" s="5">
        <v>0</v>
      </c>
      <c r="J309" s="5">
        <v>0</v>
      </c>
      <c r="K309" s="5">
        <v>0</v>
      </c>
      <c r="L309" s="6">
        <v>1</v>
      </c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5"/>
    </row>
    <row r="310" spans="1:50" s="7" customFormat="1" x14ac:dyDescent="0.4">
      <c r="A310" s="5" t="str">
        <f t="shared" si="15"/>
        <v>八代</v>
      </c>
      <c r="B310" s="5" t="str">
        <f>"特別養護老人ホームま心苑"</f>
        <v>特別養護老人ホームま心苑</v>
      </c>
      <c r="C310" s="5" t="str">
        <f>"869-5151"</f>
        <v>869-5151</v>
      </c>
      <c r="D310" s="5" t="s">
        <v>422</v>
      </c>
      <c r="E310" s="5" t="str">
        <f>"0965317600    "</f>
        <v xml:space="preserve">0965317600    </v>
      </c>
      <c r="F310" s="5" t="str">
        <f>"社会福祉法人　ま心苑"</f>
        <v>社会福祉法人　ま心苑</v>
      </c>
      <c r="G310" s="5" t="str">
        <f>"H06.11.01"</f>
        <v>H06.11.01</v>
      </c>
      <c r="H310" s="5" t="str">
        <f t="shared" si="16"/>
        <v>開設中</v>
      </c>
      <c r="I310" s="5">
        <v>0</v>
      </c>
      <c r="J310" s="5">
        <v>0</v>
      </c>
      <c r="K310" s="5">
        <v>0</v>
      </c>
      <c r="L310" s="6">
        <v>1</v>
      </c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5"/>
    </row>
    <row r="311" spans="1:50" s="7" customFormat="1" x14ac:dyDescent="0.4">
      <c r="A311" s="5" t="str">
        <f t="shared" si="15"/>
        <v>八代</v>
      </c>
      <c r="B311" s="5" t="str">
        <f>"中村内科医院"</f>
        <v>中村内科医院</v>
      </c>
      <c r="C311" s="5" t="str">
        <f>"866-0843"</f>
        <v>866-0843</v>
      </c>
      <c r="D311" s="5" t="s">
        <v>423</v>
      </c>
      <c r="E311" s="5" t="str">
        <f>"0965338885    "</f>
        <v xml:space="preserve">0965338885    </v>
      </c>
      <c r="F311" s="5" t="str">
        <f>"医療法人　中村内科医院"</f>
        <v>医療法人　中村内科医院</v>
      </c>
      <c r="G311" s="5" t="str">
        <f>"H10.06.01"</f>
        <v>H10.06.01</v>
      </c>
      <c r="H311" s="5" t="str">
        <f t="shared" si="16"/>
        <v>開設中</v>
      </c>
      <c r="I311" s="5">
        <v>0</v>
      </c>
      <c r="J311" s="5">
        <v>0</v>
      </c>
      <c r="K311" s="5">
        <v>0</v>
      </c>
      <c r="L311" s="6">
        <v>1</v>
      </c>
      <c r="M311" s="6"/>
      <c r="N311" s="6"/>
      <c r="O311" s="6"/>
      <c r="P311" s="6"/>
      <c r="Q311" s="6">
        <v>1</v>
      </c>
      <c r="R311" s="6">
        <v>1</v>
      </c>
      <c r="S311" s="6">
        <v>1</v>
      </c>
      <c r="T311" s="6">
        <v>1</v>
      </c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5"/>
    </row>
    <row r="312" spans="1:50" s="7" customFormat="1" x14ac:dyDescent="0.4">
      <c r="A312" s="5" t="str">
        <f t="shared" ref="A312:A343" si="17">"八代"</f>
        <v>八代</v>
      </c>
      <c r="B312" s="5" t="str">
        <f>"橋本医院"</f>
        <v>橋本医院</v>
      </c>
      <c r="C312" s="5" t="str">
        <f>"866-0081"</f>
        <v>866-0081</v>
      </c>
      <c r="D312" s="5" t="s">
        <v>424</v>
      </c>
      <c r="E312" s="5" t="str">
        <f>"0965324155    "</f>
        <v xml:space="preserve">0965324155    </v>
      </c>
      <c r="F312" s="5" t="str">
        <f>"橋本　晏理"</f>
        <v>橋本　晏理</v>
      </c>
      <c r="G312" s="5" t="str">
        <f>"S57.06.30"</f>
        <v>S57.06.30</v>
      </c>
      <c r="H312" s="5" t="str">
        <f t="shared" si="16"/>
        <v>開設中</v>
      </c>
      <c r="I312" s="5">
        <v>0</v>
      </c>
      <c r="J312" s="5">
        <v>0</v>
      </c>
      <c r="K312" s="5">
        <v>0</v>
      </c>
      <c r="L312" s="6">
        <v>1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>
        <v>1</v>
      </c>
      <c r="X312" s="6">
        <v>1</v>
      </c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>
        <v>1</v>
      </c>
      <c r="AM312" s="6">
        <v>1</v>
      </c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5"/>
    </row>
    <row r="313" spans="1:50" s="7" customFormat="1" x14ac:dyDescent="0.4">
      <c r="A313" s="5" t="str">
        <f t="shared" si="17"/>
        <v>八代</v>
      </c>
      <c r="B313" s="5" t="str">
        <f>"日置町クリニック"</f>
        <v>日置町クリニック</v>
      </c>
      <c r="C313" s="5" t="str">
        <f>"866-0896"</f>
        <v>866-0896</v>
      </c>
      <c r="D313" s="5" t="s">
        <v>425</v>
      </c>
      <c r="E313" s="5" t="str">
        <f>"0965315757    "</f>
        <v xml:space="preserve">0965315757    </v>
      </c>
      <c r="F313" s="5" t="str">
        <f>"医療法人社団　浩杏会"</f>
        <v>医療法人社団　浩杏会</v>
      </c>
      <c r="G313" s="5" t="str">
        <f>"H12.12.01"</f>
        <v>H12.12.01</v>
      </c>
      <c r="H313" s="5" t="str">
        <f t="shared" si="16"/>
        <v>開設中</v>
      </c>
      <c r="I313" s="5">
        <v>17</v>
      </c>
      <c r="J313" s="5">
        <v>17</v>
      </c>
      <c r="K313" s="5">
        <v>0</v>
      </c>
      <c r="L313" s="6">
        <v>1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5" t="s">
        <v>78</v>
      </c>
    </row>
    <row r="314" spans="1:50" s="7" customFormat="1" x14ac:dyDescent="0.4">
      <c r="A314" s="5" t="str">
        <f t="shared" si="17"/>
        <v>八代</v>
      </c>
      <c r="B314" s="5" t="str">
        <f>"久野内科医院"</f>
        <v>久野内科医院</v>
      </c>
      <c r="C314" s="5" t="str">
        <f>"866-0861"</f>
        <v>866-0861</v>
      </c>
      <c r="D314" s="5" t="s">
        <v>426</v>
      </c>
      <c r="E314" s="5" t="str">
        <f>"0965323408    "</f>
        <v xml:space="preserve">0965323408    </v>
      </c>
      <c r="F314" s="5" t="str">
        <f>"医療法人社団　久野会"</f>
        <v>医療法人社団　久野会</v>
      </c>
      <c r="G314" s="5" t="str">
        <f>"H12.10.01"</f>
        <v>H12.10.01</v>
      </c>
      <c r="H314" s="5" t="str">
        <f t="shared" si="16"/>
        <v>開設中</v>
      </c>
      <c r="I314" s="5">
        <v>0</v>
      </c>
      <c r="J314" s="5">
        <v>0</v>
      </c>
      <c r="K314" s="5">
        <v>0</v>
      </c>
      <c r="L314" s="6">
        <v>1</v>
      </c>
      <c r="M314" s="6"/>
      <c r="N314" s="6"/>
      <c r="O314" s="6"/>
      <c r="P314" s="6"/>
      <c r="Q314" s="6">
        <v>1</v>
      </c>
      <c r="R314" s="6">
        <v>1</v>
      </c>
      <c r="S314" s="6"/>
      <c r="T314" s="6">
        <v>1</v>
      </c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5"/>
    </row>
    <row r="315" spans="1:50" s="7" customFormat="1" x14ac:dyDescent="0.4">
      <c r="A315" s="5" t="str">
        <f t="shared" si="17"/>
        <v>八代</v>
      </c>
      <c r="B315" s="5" t="str">
        <f>"市村皮膚科医院"</f>
        <v>市村皮膚科医院</v>
      </c>
      <c r="C315" s="5" t="str">
        <f>"866-0845"</f>
        <v>866-0845</v>
      </c>
      <c r="D315" s="5" t="s">
        <v>427</v>
      </c>
      <c r="E315" s="5" t="str">
        <f>"0965342820    "</f>
        <v xml:space="preserve">0965342820    </v>
      </c>
      <c r="F315" s="5" t="str">
        <f>"医療法人社団　市村会"</f>
        <v>医療法人社団　市村会</v>
      </c>
      <c r="G315" s="5" t="str">
        <f>"H04.09.01"</f>
        <v>H04.09.01</v>
      </c>
      <c r="H315" s="5" t="str">
        <f t="shared" si="16"/>
        <v>開設中</v>
      </c>
      <c r="I315" s="5">
        <v>0</v>
      </c>
      <c r="J315" s="5">
        <v>0</v>
      </c>
      <c r="K315" s="5">
        <v>0</v>
      </c>
      <c r="L315" s="6"/>
      <c r="M315" s="6"/>
      <c r="N315" s="6"/>
      <c r="O315" s="6"/>
      <c r="P315" s="6"/>
      <c r="Q315" s="6"/>
      <c r="R315" s="6"/>
      <c r="S315" s="6"/>
      <c r="T315" s="6"/>
      <c r="U315" s="6">
        <v>1</v>
      </c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>
        <v>1</v>
      </c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5" t="s">
        <v>79</v>
      </c>
    </row>
    <row r="316" spans="1:50" s="7" customFormat="1" x14ac:dyDescent="0.4">
      <c r="A316" s="5" t="str">
        <f t="shared" si="17"/>
        <v>八代</v>
      </c>
      <c r="B316" s="5" t="str">
        <f>"ふくろ町クリニック"</f>
        <v>ふくろ町クリニック</v>
      </c>
      <c r="C316" s="5" t="str">
        <f>"866-0855"</f>
        <v>866-0855</v>
      </c>
      <c r="D316" s="5" t="s">
        <v>428</v>
      </c>
      <c r="E316" s="5" t="str">
        <f>"0965321222    "</f>
        <v xml:space="preserve">0965321222    </v>
      </c>
      <c r="F316" s="5" t="str">
        <f>"医療法人社団　博友会"</f>
        <v>医療法人社団　博友会</v>
      </c>
      <c r="G316" s="5" t="str">
        <f>"H03.02.01"</f>
        <v>H03.02.01</v>
      </c>
      <c r="H316" s="5" t="str">
        <f t="shared" si="16"/>
        <v>開設中</v>
      </c>
      <c r="I316" s="5">
        <v>0</v>
      </c>
      <c r="J316" s="5">
        <v>0</v>
      </c>
      <c r="K316" s="5">
        <v>0</v>
      </c>
      <c r="L316" s="6">
        <v>1</v>
      </c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>
        <v>1</v>
      </c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>
        <v>1</v>
      </c>
      <c r="AR316" s="6"/>
      <c r="AS316" s="6"/>
      <c r="AT316" s="6"/>
      <c r="AU316" s="6"/>
      <c r="AV316" s="6"/>
      <c r="AW316" s="6"/>
      <c r="AX316" s="5"/>
    </row>
    <row r="317" spans="1:50" s="7" customFormat="1" x14ac:dyDescent="0.4">
      <c r="A317" s="5" t="str">
        <f t="shared" si="17"/>
        <v>八代</v>
      </c>
      <c r="B317" s="5" t="str">
        <f>"福満内科医院"</f>
        <v>福満内科医院</v>
      </c>
      <c r="C317" s="5" t="str">
        <f>"866-0883"</f>
        <v>866-0883</v>
      </c>
      <c r="D317" s="5" t="s">
        <v>430</v>
      </c>
      <c r="E317" s="5" t="str">
        <f>"0965350293    "</f>
        <v xml:space="preserve">0965350293    </v>
      </c>
      <c r="F317" s="5" t="str">
        <f>"福満　健一郎"</f>
        <v>福満　健一郎</v>
      </c>
      <c r="G317" s="5" t="str">
        <f>"H13.11.08"</f>
        <v>H13.11.08</v>
      </c>
      <c r="H317" s="5" t="str">
        <f t="shared" si="16"/>
        <v>開設中</v>
      </c>
      <c r="I317" s="5">
        <v>0</v>
      </c>
      <c r="J317" s="5">
        <v>0</v>
      </c>
      <c r="K317" s="5">
        <v>0</v>
      </c>
      <c r="L317" s="6">
        <v>1</v>
      </c>
      <c r="M317" s="6"/>
      <c r="N317" s="6"/>
      <c r="O317" s="6"/>
      <c r="P317" s="6"/>
      <c r="Q317" s="6"/>
      <c r="R317" s="6">
        <v>1</v>
      </c>
      <c r="S317" s="6">
        <v>1</v>
      </c>
      <c r="T317" s="6">
        <v>1</v>
      </c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5"/>
    </row>
    <row r="318" spans="1:50" s="7" customFormat="1" x14ac:dyDescent="0.4">
      <c r="A318" s="5" t="str">
        <f t="shared" si="17"/>
        <v>八代</v>
      </c>
      <c r="B318" s="5" t="str">
        <f>"堀内眼科医院"</f>
        <v>堀内眼科医院</v>
      </c>
      <c r="C318" s="5" t="str">
        <f>"866-0864"</f>
        <v>866-0864</v>
      </c>
      <c r="D318" s="5" t="s">
        <v>431</v>
      </c>
      <c r="E318" s="5" t="str">
        <f>"0965324993    "</f>
        <v xml:space="preserve">0965324993    </v>
      </c>
      <c r="F318" s="5" t="str">
        <f>"堀内　浩史"</f>
        <v>堀内　浩史</v>
      </c>
      <c r="G318" s="5" t="str">
        <f>"H15.01.01"</f>
        <v>H15.01.01</v>
      </c>
      <c r="H318" s="5" t="str">
        <f t="shared" si="16"/>
        <v>開設中</v>
      </c>
      <c r="I318" s="5">
        <v>0</v>
      </c>
      <c r="J318" s="5">
        <v>0</v>
      </c>
      <c r="K318" s="5">
        <v>0</v>
      </c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>
        <v>1</v>
      </c>
      <c r="AO318" s="6"/>
      <c r="AP318" s="6"/>
      <c r="AQ318" s="6"/>
      <c r="AR318" s="6"/>
      <c r="AS318" s="6"/>
      <c r="AT318" s="6"/>
      <c r="AU318" s="6"/>
      <c r="AV318" s="6"/>
      <c r="AW318" s="6"/>
      <c r="AX318" s="5"/>
    </row>
    <row r="319" spans="1:50" s="7" customFormat="1" ht="19.5" customHeight="1" x14ac:dyDescent="0.4">
      <c r="A319" s="5" t="str">
        <f t="shared" si="17"/>
        <v>八代</v>
      </c>
      <c r="B319" s="5" t="str">
        <f>"松岡内科クリニック"</f>
        <v>松岡内科クリニック</v>
      </c>
      <c r="C319" s="5" t="str">
        <f>"866-0856"</f>
        <v>866-0856</v>
      </c>
      <c r="D319" s="5" t="s">
        <v>432</v>
      </c>
      <c r="E319" s="5" t="str">
        <f>"0965332766    "</f>
        <v xml:space="preserve">0965332766    </v>
      </c>
      <c r="F319" s="5" t="str">
        <f>"医療法人　師天会"</f>
        <v>医療法人　師天会</v>
      </c>
      <c r="G319" s="5" t="str">
        <f>"H13.12.01"</f>
        <v>H13.12.01</v>
      </c>
      <c r="H319" s="5" t="str">
        <f t="shared" si="16"/>
        <v>開設中</v>
      </c>
      <c r="I319" s="5">
        <v>16</v>
      </c>
      <c r="J319" s="5">
        <v>16</v>
      </c>
      <c r="K319" s="5">
        <v>0</v>
      </c>
      <c r="L319" s="6">
        <v>1</v>
      </c>
      <c r="M319" s="6"/>
      <c r="N319" s="6"/>
      <c r="O319" s="6"/>
      <c r="P319" s="6"/>
      <c r="Q319" s="6"/>
      <c r="R319" s="6"/>
      <c r="S319" s="6"/>
      <c r="T319" s="6">
        <v>1</v>
      </c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5"/>
    </row>
    <row r="320" spans="1:50" s="7" customFormat="1" x14ac:dyDescent="0.4">
      <c r="A320" s="5" t="str">
        <f t="shared" si="17"/>
        <v>八代</v>
      </c>
      <c r="B320" s="5" t="str">
        <f>"特別養護老人ホーム　みやび園"</f>
        <v>特別養護老人ホーム　みやび園</v>
      </c>
      <c r="C320" s="5" t="str">
        <f>"866-0014"</f>
        <v>866-0014</v>
      </c>
      <c r="D320" s="5" t="s">
        <v>433</v>
      </c>
      <c r="E320" s="5" t="str">
        <f>"0965320088    "</f>
        <v xml:space="preserve">0965320088    </v>
      </c>
      <c r="F320" s="5" t="str">
        <f>"社会福祉法人　松高福祉会"</f>
        <v>社会福祉法人　松高福祉会</v>
      </c>
      <c r="G320" s="5" t="str">
        <f>"H05.04.01"</f>
        <v>H05.04.01</v>
      </c>
      <c r="H320" s="5" t="str">
        <f t="shared" si="16"/>
        <v>開設中</v>
      </c>
      <c r="I320" s="5">
        <v>0</v>
      </c>
      <c r="J320" s="5">
        <v>0</v>
      </c>
      <c r="K320" s="5">
        <v>0</v>
      </c>
      <c r="L320" s="6">
        <v>1</v>
      </c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>
        <v>1</v>
      </c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5"/>
    </row>
    <row r="321" spans="1:50" s="7" customFormat="1" x14ac:dyDescent="0.4">
      <c r="A321" s="5" t="str">
        <f t="shared" si="17"/>
        <v>八代</v>
      </c>
      <c r="B321" s="5" t="str">
        <f>"持永消化器内科内視鏡内科外科医院"</f>
        <v>持永消化器内科内視鏡内科外科医院</v>
      </c>
      <c r="C321" s="5" t="str">
        <f>"866-0074"</f>
        <v>866-0074</v>
      </c>
      <c r="D321" s="5" t="s">
        <v>435</v>
      </c>
      <c r="E321" s="5" t="str">
        <f>"0965352772    "</f>
        <v xml:space="preserve">0965352772    </v>
      </c>
      <c r="F321" s="5" t="str">
        <f>"医療法人社団　みずほ会"</f>
        <v>医療法人社団　みずほ会</v>
      </c>
      <c r="G321" s="5" t="str">
        <f>"H04.09.01"</f>
        <v>H04.09.01</v>
      </c>
      <c r="H321" s="5" t="str">
        <f t="shared" si="16"/>
        <v>開設中</v>
      </c>
      <c r="I321" s="5">
        <v>0</v>
      </c>
      <c r="J321" s="5">
        <v>0</v>
      </c>
      <c r="K321" s="5">
        <v>0</v>
      </c>
      <c r="L321" s="6">
        <v>1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>
        <v>1</v>
      </c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>
        <v>1</v>
      </c>
      <c r="AR321" s="6">
        <v>1</v>
      </c>
      <c r="AS321" s="6"/>
      <c r="AT321" s="6"/>
      <c r="AU321" s="6"/>
      <c r="AV321" s="6"/>
      <c r="AW321" s="6"/>
      <c r="AX321" s="5" t="s">
        <v>80</v>
      </c>
    </row>
    <row r="322" spans="1:50" s="7" customFormat="1" x14ac:dyDescent="0.4">
      <c r="A322" s="5" t="str">
        <f t="shared" si="17"/>
        <v>八代</v>
      </c>
      <c r="B322" s="5" t="str">
        <f>"八代市医師会健診センター"</f>
        <v>八代市医師会健診センター</v>
      </c>
      <c r="C322" s="5" t="str">
        <f>"866-0074"</f>
        <v>866-0074</v>
      </c>
      <c r="D322" s="5" t="s">
        <v>436</v>
      </c>
      <c r="E322" s="5" t="str">
        <f>"0965353004    "</f>
        <v xml:space="preserve">0965353004    </v>
      </c>
      <c r="F322" s="5" t="str">
        <f>"一般社団法人　八代市医師会"</f>
        <v>一般社団法人　八代市医師会</v>
      </c>
      <c r="G322" s="5" t="str">
        <f>"H04.03.21"</f>
        <v>H04.03.21</v>
      </c>
      <c r="H322" s="5" t="str">
        <f t="shared" si="16"/>
        <v>開設中</v>
      </c>
      <c r="I322" s="5">
        <v>0</v>
      </c>
      <c r="J322" s="5">
        <v>0</v>
      </c>
      <c r="K322" s="5">
        <v>0</v>
      </c>
      <c r="L322" s="6">
        <v>1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5"/>
    </row>
    <row r="323" spans="1:50" s="7" customFormat="1" x14ac:dyDescent="0.4">
      <c r="A323" s="5" t="str">
        <f t="shared" si="17"/>
        <v>八代</v>
      </c>
      <c r="B323" s="5" t="str">
        <f>"八代中央クリニック"</f>
        <v>八代中央クリニック</v>
      </c>
      <c r="C323" s="5" t="str">
        <f>"866-0885"</f>
        <v>866-0885</v>
      </c>
      <c r="D323" s="5" t="s">
        <v>437</v>
      </c>
      <c r="E323" s="5" t="str">
        <f>"0965328008    "</f>
        <v xml:space="preserve">0965328008    </v>
      </c>
      <c r="F323" s="5" t="str">
        <f>"社会医療法人芳和会"</f>
        <v>社会医療法人芳和会</v>
      </c>
      <c r="G323" s="5" t="str">
        <f>"H03.10.29"</f>
        <v>H03.10.29</v>
      </c>
      <c r="H323" s="5" t="str">
        <f t="shared" si="16"/>
        <v>開設中</v>
      </c>
      <c r="I323" s="5">
        <v>0</v>
      </c>
      <c r="J323" s="5">
        <v>0</v>
      </c>
      <c r="K323" s="5">
        <v>0</v>
      </c>
      <c r="L323" s="6">
        <v>1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5"/>
    </row>
    <row r="324" spans="1:50" s="7" customFormat="1" x14ac:dyDescent="0.4">
      <c r="A324" s="5" t="str">
        <f t="shared" si="17"/>
        <v>八代</v>
      </c>
      <c r="B324" s="5" t="str">
        <f>"和田小児科医院"</f>
        <v>和田小児科医院</v>
      </c>
      <c r="C324" s="5" t="str">
        <f>"866-0852"</f>
        <v>866-0852</v>
      </c>
      <c r="D324" s="5" t="s">
        <v>438</v>
      </c>
      <c r="E324" s="5" t="str">
        <f>"0965322755    "</f>
        <v xml:space="preserve">0965322755    </v>
      </c>
      <c r="F324" s="5" t="str">
        <f>"医療法人社団　恵和会"</f>
        <v>医療法人社団　恵和会</v>
      </c>
      <c r="G324" s="5" t="str">
        <f>"H09.11.01"</f>
        <v>H09.11.01</v>
      </c>
      <c r="H324" s="5" t="str">
        <f t="shared" si="16"/>
        <v>開設中</v>
      </c>
      <c r="I324" s="5">
        <v>0</v>
      </c>
      <c r="J324" s="5">
        <v>0</v>
      </c>
      <c r="K324" s="5">
        <v>0</v>
      </c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>
        <v>1</v>
      </c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5"/>
    </row>
    <row r="325" spans="1:50" s="7" customFormat="1" x14ac:dyDescent="0.4">
      <c r="A325" s="5" t="str">
        <f t="shared" si="17"/>
        <v>八代</v>
      </c>
      <c r="B325" s="5" t="str">
        <f>"特別養護老人ホーム坂本の里一灯苑　医務室"</f>
        <v>特別養護老人ホーム坂本の里一灯苑　医務室</v>
      </c>
      <c r="C325" s="5" t="str">
        <f>"869-6105"</f>
        <v>869-6105</v>
      </c>
      <c r="D325" s="5" t="s">
        <v>439</v>
      </c>
      <c r="E325" s="5" t="str">
        <f>"0965537277    "</f>
        <v xml:space="preserve">0965537277    </v>
      </c>
      <c r="F325" s="5" t="str">
        <f>"社会福祉法人　川岳福祉会"</f>
        <v>社会福祉法人　川岳福祉会</v>
      </c>
      <c r="G325" s="5" t="str">
        <f>"H16.04.01"</f>
        <v>H16.04.01</v>
      </c>
      <c r="H325" s="5" t="str">
        <f t="shared" si="16"/>
        <v>開設中</v>
      </c>
      <c r="I325" s="5">
        <v>0</v>
      </c>
      <c r="J325" s="5">
        <v>0</v>
      </c>
      <c r="K325" s="5">
        <v>0</v>
      </c>
      <c r="L325" s="6">
        <v>1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5"/>
    </row>
    <row r="326" spans="1:50" s="7" customFormat="1" x14ac:dyDescent="0.4">
      <c r="A326" s="5" t="str">
        <f t="shared" si="17"/>
        <v>八代</v>
      </c>
      <c r="B326" s="5" t="str">
        <f>"特別養護老人ホーム康和苑"</f>
        <v>特別養護老人ホーム康和苑</v>
      </c>
      <c r="C326" s="5" t="str">
        <f>"869-4701"</f>
        <v>869-4701</v>
      </c>
      <c r="D326" s="5" t="s">
        <v>440</v>
      </c>
      <c r="E326" s="5" t="str">
        <f>"0965461144    "</f>
        <v xml:space="preserve">0965461144    </v>
      </c>
      <c r="F326" s="5" t="str">
        <f>"社会福祉法人　康和福祉会"</f>
        <v>社会福祉法人　康和福祉会</v>
      </c>
      <c r="G326" s="5" t="str">
        <f>"H09.04.01"</f>
        <v>H09.04.01</v>
      </c>
      <c r="H326" s="5" t="str">
        <f t="shared" si="16"/>
        <v>開設中</v>
      </c>
      <c r="I326" s="5">
        <v>0</v>
      </c>
      <c r="J326" s="5">
        <v>0</v>
      </c>
      <c r="K326" s="5">
        <v>0</v>
      </c>
      <c r="L326" s="6">
        <v>1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5"/>
    </row>
    <row r="327" spans="1:50" s="7" customFormat="1" x14ac:dyDescent="0.4">
      <c r="A327" s="5" t="str">
        <f t="shared" si="17"/>
        <v>八代</v>
      </c>
      <c r="B327" s="5" t="str">
        <f>"丸田医院"</f>
        <v>丸田医院</v>
      </c>
      <c r="C327" s="5" t="str">
        <f>"869-4702"</f>
        <v>869-4702</v>
      </c>
      <c r="D327" s="5" t="s">
        <v>441</v>
      </c>
      <c r="E327" s="5" t="str">
        <f>"0965460027    "</f>
        <v xml:space="preserve">0965460027    </v>
      </c>
      <c r="F327" s="5" t="str">
        <f>"丸田　彰二"</f>
        <v>丸田　彰二</v>
      </c>
      <c r="G327" s="5" t="str">
        <f>"H04.08.01"</f>
        <v>H04.08.01</v>
      </c>
      <c r="H327" s="5" t="str">
        <f t="shared" si="16"/>
        <v>開設中</v>
      </c>
      <c r="I327" s="5">
        <v>0</v>
      </c>
      <c r="J327" s="5">
        <v>0</v>
      </c>
      <c r="K327" s="5">
        <v>0</v>
      </c>
      <c r="L327" s="6">
        <v>1</v>
      </c>
      <c r="M327" s="6"/>
      <c r="N327" s="6"/>
      <c r="O327" s="6"/>
      <c r="P327" s="6"/>
      <c r="Q327" s="6"/>
      <c r="R327" s="6"/>
      <c r="S327" s="6">
        <v>1</v>
      </c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5"/>
    </row>
    <row r="328" spans="1:50" s="7" customFormat="1" x14ac:dyDescent="0.4">
      <c r="A328" s="5" t="str">
        <f t="shared" si="17"/>
        <v>八代</v>
      </c>
      <c r="B328" s="5" t="str">
        <f>"宮城循環器内科"</f>
        <v>宮城循環器内科</v>
      </c>
      <c r="C328" s="5" t="str">
        <f>"869-4704"</f>
        <v>869-4704</v>
      </c>
      <c r="D328" s="5" t="s">
        <v>442</v>
      </c>
      <c r="E328" s="5" t="str">
        <f>"0965460007    "</f>
        <v xml:space="preserve">0965460007    </v>
      </c>
      <c r="F328" s="5" t="str">
        <f>"宮城　宏生"</f>
        <v>宮城　宏生</v>
      </c>
      <c r="G328" s="5" t="str">
        <f>"H15.05.01"</f>
        <v>H15.05.01</v>
      </c>
      <c r="H328" s="5" t="str">
        <f t="shared" si="16"/>
        <v>開設中</v>
      </c>
      <c r="I328" s="5">
        <v>0</v>
      </c>
      <c r="J328" s="5">
        <v>0</v>
      </c>
      <c r="K328" s="5">
        <v>0</v>
      </c>
      <c r="L328" s="6">
        <v>1</v>
      </c>
      <c r="M328" s="6"/>
      <c r="N328" s="6"/>
      <c r="O328" s="6"/>
      <c r="P328" s="6"/>
      <c r="Q328" s="6"/>
      <c r="R328" s="6"/>
      <c r="S328" s="6"/>
      <c r="T328" s="6">
        <v>1</v>
      </c>
      <c r="U328" s="6"/>
      <c r="V328" s="6"/>
      <c r="W328" s="6">
        <v>1</v>
      </c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5"/>
    </row>
    <row r="329" spans="1:50" s="7" customFormat="1" x14ac:dyDescent="0.4">
      <c r="A329" s="5" t="str">
        <f t="shared" si="17"/>
        <v>八代</v>
      </c>
      <c r="B329" s="5" t="str">
        <f>"荒木皮ふ科医院"</f>
        <v>荒木皮ふ科医院</v>
      </c>
      <c r="C329" s="5" t="str">
        <f>"869-4201"</f>
        <v>869-4201</v>
      </c>
      <c r="D329" s="5" t="s">
        <v>443</v>
      </c>
      <c r="E329" s="5" t="str">
        <f>"0965528777    "</f>
        <v xml:space="preserve">0965528777    </v>
      </c>
      <c r="F329" s="5" t="str">
        <f>"荒木　嘉浩"</f>
        <v>荒木　嘉浩</v>
      </c>
      <c r="G329" s="5" t="str">
        <f>"H15.05.01"</f>
        <v>H15.05.01</v>
      </c>
      <c r="H329" s="5" t="str">
        <f t="shared" si="16"/>
        <v>開設中</v>
      </c>
      <c r="I329" s="5">
        <v>0</v>
      </c>
      <c r="J329" s="5">
        <v>0</v>
      </c>
      <c r="K329" s="5">
        <v>0</v>
      </c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>
        <v>1</v>
      </c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5"/>
    </row>
    <row r="330" spans="1:50" s="7" customFormat="1" x14ac:dyDescent="0.4">
      <c r="A330" s="5" t="str">
        <f t="shared" si="17"/>
        <v>八代</v>
      </c>
      <c r="B330" s="5" t="str">
        <f>"尾田内科医院"</f>
        <v>尾田内科医院</v>
      </c>
      <c r="C330" s="5" t="str">
        <f>"869-4201"</f>
        <v>869-4201</v>
      </c>
      <c r="D330" s="5" t="s">
        <v>444</v>
      </c>
      <c r="E330" s="5" t="str">
        <f>"0965528011    "</f>
        <v xml:space="preserve">0965528011    </v>
      </c>
      <c r="F330" s="5" t="str">
        <f>"医療法人社団　幸済会"</f>
        <v>医療法人社団　幸済会</v>
      </c>
      <c r="G330" s="5" t="str">
        <f>"H15.07.01"</f>
        <v>H15.07.01</v>
      </c>
      <c r="H330" s="5" t="str">
        <f t="shared" si="16"/>
        <v>開設中</v>
      </c>
      <c r="I330" s="5">
        <v>19</v>
      </c>
      <c r="J330" s="5">
        <v>19</v>
      </c>
      <c r="K330" s="5">
        <v>0</v>
      </c>
      <c r="L330" s="6">
        <v>1</v>
      </c>
      <c r="M330" s="6"/>
      <c r="N330" s="6"/>
      <c r="O330" s="6"/>
      <c r="P330" s="6"/>
      <c r="Q330" s="6">
        <v>1</v>
      </c>
      <c r="R330" s="6"/>
      <c r="S330" s="6">
        <v>1</v>
      </c>
      <c r="T330" s="6">
        <v>1</v>
      </c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5"/>
    </row>
    <row r="331" spans="1:50" s="7" customFormat="1" x14ac:dyDescent="0.4">
      <c r="A331" s="5" t="str">
        <f t="shared" si="17"/>
        <v>八代</v>
      </c>
      <c r="B331" s="5" t="str">
        <f>"特別養護老人ホーム安寿の里診療所"</f>
        <v>特別養護老人ホーム安寿の里診療所</v>
      </c>
      <c r="C331" s="5" t="str">
        <f>"869-4222"</f>
        <v>869-4222</v>
      </c>
      <c r="D331" s="5" t="s">
        <v>445</v>
      </c>
      <c r="E331" s="5" t="str">
        <f>"0965532100    "</f>
        <v xml:space="preserve">0965532100    </v>
      </c>
      <c r="F331" s="5" t="str">
        <f>"社会福祉法人　至誠会"</f>
        <v>社会福祉法人　至誠会</v>
      </c>
      <c r="G331" s="5" t="str">
        <f>"H12.04.01"</f>
        <v>H12.04.01</v>
      </c>
      <c r="H331" s="5" t="str">
        <f t="shared" si="16"/>
        <v>開設中</v>
      </c>
      <c r="I331" s="5">
        <v>0</v>
      </c>
      <c r="J331" s="5">
        <v>0</v>
      </c>
      <c r="K331" s="5">
        <v>0</v>
      </c>
      <c r="L331" s="6">
        <v>1</v>
      </c>
      <c r="M331" s="6"/>
      <c r="N331" s="6"/>
      <c r="O331" s="6"/>
      <c r="P331" s="6"/>
      <c r="Q331" s="6"/>
      <c r="R331" s="6">
        <v>1</v>
      </c>
      <c r="S331" s="6"/>
      <c r="T331" s="6">
        <v>1</v>
      </c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>
        <v>1</v>
      </c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5"/>
    </row>
    <row r="332" spans="1:50" s="7" customFormat="1" x14ac:dyDescent="0.4">
      <c r="A332" s="5" t="str">
        <f t="shared" si="17"/>
        <v>八代</v>
      </c>
      <c r="B332" s="5" t="str">
        <f>"前田内科医院"</f>
        <v>前田内科医院</v>
      </c>
      <c r="C332" s="5" t="str">
        <f>"869-4212"</f>
        <v>869-4212</v>
      </c>
      <c r="D332" s="5" t="s">
        <v>446</v>
      </c>
      <c r="E332" s="5" t="str">
        <f>"0965521310    "</f>
        <v xml:space="preserve">0965521310    </v>
      </c>
      <c r="F332" s="5" t="str">
        <f>"医療法人社団　隆愛会"</f>
        <v>医療法人社団　隆愛会</v>
      </c>
      <c r="G332" s="5" t="str">
        <f>"H02.06.01"</f>
        <v>H02.06.01</v>
      </c>
      <c r="H332" s="5" t="str">
        <f t="shared" si="16"/>
        <v>開設中</v>
      </c>
      <c r="I332" s="5">
        <v>0</v>
      </c>
      <c r="J332" s="5">
        <v>0</v>
      </c>
      <c r="K332" s="5">
        <v>0</v>
      </c>
      <c r="L332" s="6">
        <v>1</v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5" t="s">
        <v>81</v>
      </c>
    </row>
    <row r="333" spans="1:50" s="7" customFormat="1" x14ac:dyDescent="0.4">
      <c r="A333" s="5" t="str">
        <f t="shared" si="17"/>
        <v>八代</v>
      </c>
      <c r="B333" s="5" t="str">
        <f>"松村眼科医院"</f>
        <v>松村眼科医院</v>
      </c>
      <c r="C333" s="5" t="str">
        <f>"869-4203"</f>
        <v>869-4203</v>
      </c>
      <c r="D333" s="5" t="s">
        <v>447</v>
      </c>
      <c r="E333" s="5" t="str">
        <f>"0965520131    "</f>
        <v xml:space="preserve">0965520131    </v>
      </c>
      <c r="F333" s="5" t="str">
        <f>"松村　明"</f>
        <v>松村　明</v>
      </c>
      <c r="G333" s="5" t="str">
        <f>"H10.01.01"</f>
        <v>H10.01.01</v>
      </c>
      <c r="H333" s="5" t="str">
        <f t="shared" si="16"/>
        <v>開設中</v>
      </c>
      <c r="I333" s="5">
        <v>7</v>
      </c>
      <c r="J333" s="5">
        <v>7</v>
      </c>
      <c r="K333" s="5">
        <v>0</v>
      </c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>
        <v>1</v>
      </c>
      <c r="AO333" s="6"/>
      <c r="AP333" s="6"/>
      <c r="AQ333" s="6"/>
      <c r="AR333" s="6"/>
      <c r="AS333" s="6"/>
      <c r="AT333" s="6"/>
      <c r="AU333" s="6"/>
      <c r="AV333" s="6"/>
      <c r="AW333" s="6"/>
      <c r="AX333" s="5"/>
    </row>
    <row r="334" spans="1:50" s="7" customFormat="1" x14ac:dyDescent="0.4">
      <c r="A334" s="5" t="str">
        <f t="shared" si="17"/>
        <v>八代</v>
      </c>
      <c r="B334" s="5" t="str">
        <f>"松本医院"</f>
        <v>松本医院</v>
      </c>
      <c r="C334" s="5" t="str">
        <f>"869-4222"</f>
        <v>869-4222</v>
      </c>
      <c r="D334" s="5" t="s">
        <v>448</v>
      </c>
      <c r="E334" s="5" t="str">
        <f>"0965520330    "</f>
        <v xml:space="preserve">0965520330    </v>
      </c>
      <c r="F334" s="5" t="str">
        <f>"医療法人社団　司会"</f>
        <v>医療法人社団　司会</v>
      </c>
      <c r="G334" s="5" t="str">
        <f>"H02.04.01"</f>
        <v>H02.04.01</v>
      </c>
      <c r="H334" s="5" t="str">
        <f t="shared" si="16"/>
        <v>開設中</v>
      </c>
      <c r="I334" s="5">
        <v>17</v>
      </c>
      <c r="J334" s="5">
        <v>3</v>
      </c>
      <c r="K334" s="5">
        <v>14</v>
      </c>
      <c r="L334" s="6">
        <v>1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>
        <v>1</v>
      </c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>
        <v>1</v>
      </c>
      <c r="AS334" s="6"/>
      <c r="AT334" s="6"/>
      <c r="AU334" s="6"/>
      <c r="AV334" s="6"/>
      <c r="AW334" s="6"/>
      <c r="AX334" s="5"/>
    </row>
    <row r="335" spans="1:50" s="7" customFormat="1" x14ac:dyDescent="0.4">
      <c r="A335" s="5" t="str">
        <f t="shared" si="17"/>
        <v>八代</v>
      </c>
      <c r="B335" s="5" t="str">
        <f>"保田医院"</f>
        <v>保田医院</v>
      </c>
      <c r="C335" s="5" t="str">
        <f>"869-4203"</f>
        <v>869-4203</v>
      </c>
      <c r="D335" s="5" t="s">
        <v>449</v>
      </c>
      <c r="E335" s="5" t="str">
        <f>"0965520037    "</f>
        <v xml:space="preserve">0965520037    </v>
      </c>
      <c r="F335" s="5" t="str">
        <f>"医療法人社団　保真会"</f>
        <v>医療法人社団　保真会</v>
      </c>
      <c r="G335" s="5" t="str">
        <f>"H01.09.01"</f>
        <v>H01.09.01</v>
      </c>
      <c r="H335" s="5" t="str">
        <f t="shared" si="16"/>
        <v>開設中</v>
      </c>
      <c r="I335" s="5">
        <v>0</v>
      </c>
      <c r="J335" s="5">
        <v>0</v>
      </c>
      <c r="K335" s="5">
        <v>0</v>
      </c>
      <c r="L335" s="6">
        <v>1</v>
      </c>
      <c r="M335" s="6"/>
      <c r="N335" s="6"/>
      <c r="O335" s="6"/>
      <c r="P335" s="6"/>
      <c r="Q335" s="6">
        <v>1</v>
      </c>
      <c r="R335" s="6"/>
      <c r="S335" s="6">
        <v>1</v>
      </c>
      <c r="T335" s="6"/>
      <c r="U335" s="6"/>
      <c r="V335" s="6"/>
      <c r="W335" s="6">
        <v>1</v>
      </c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5"/>
    </row>
    <row r="336" spans="1:50" s="7" customFormat="1" x14ac:dyDescent="0.4">
      <c r="A336" s="5" t="str">
        <f t="shared" si="17"/>
        <v>八代</v>
      </c>
      <c r="B336" s="5" t="str">
        <f>"上村整形外科医院"</f>
        <v>上村整形外科医院</v>
      </c>
      <c r="C336" s="5" t="str">
        <f>"869-4804"</f>
        <v>869-4804</v>
      </c>
      <c r="D336" s="5" t="s">
        <v>450</v>
      </c>
      <c r="E336" s="5" t="str">
        <f>"0965623377    "</f>
        <v xml:space="preserve">0965623377    </v>
      </c>
      <c r="F336" s="5" t="str">
        <f>"上村　光治"</f>
        <v>上村　光治</v>
      </c>
      <c r="G336" s="5" t="str">
        <f>"H05.01.06"</f>
        <v>H05.01.06</v>
      </c>
      <c r="H336" s="5" t="str">
        <f t="shared" si="16"/>
        <v>開設中</v>
      </c>
      <c r="I336" s="5">
        <v>0</v>
      </c>
      <c r="J336" s="5">
        <v>0</v>
      </c>
      <c r="K336" s="5">
        <v>0</v>
      </c>
      <c r="L336" s="6">
        <v>1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>
        <v>1</v>
      </c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>
        <v>1</v>
      </c>
      <c r="AR336" s="6"/>
      <c r="AS336" s="6"/>
      <c r="AT336" s="6"/>
      <c r="AU336" s="6"/>
      <c r="AV336" s="6"/>
      <c r="AW336" s="6"/>
      <c r="AX336" s="5"/>
    </row>
    <row r="337" spans="1:50" s="7" customFormat="1" x14ac:dyDescent="0.4">
      <c r="A337" s="5" t="str">
        <f t="shared" si="17"/>
        <v>八代</v>
      </c>
      <c r="B337" s="5" t="str">
        <f>"障害者支援施設のぞみ"</f>
        <v>障害者支援施設のぞみ</v>
      </c>
      <c r="C337" s="5" t="str">
        <f>"869-4815"</f>
        <v>869-4815</v>
      </c>
      <c r="D337" s="5" t="s">
        <v>451</v>
      </c>
      <c r="E337" s="5" t="str">
        <f>"0965525505    "</f>
        <v xml:space="preserve">0965525505    </v>
      </c>
      <c r="F337" s="5" t="str">
        <f>"社会福祉法人　白寿会"</f>
        <v>社会福祉法人　白寿会</v>
      </c>
      <c r="G337" s="5" t="str">
        <f>"H11.04.01"</f>
        <v>H11.04.01</v>
      </c>
      <c r="H337" s="5" t="str">
        <f t="shared" si="16"/>
        <v>開設中</v>
      </c>
      <c r="I337" s="5">
        <v>0</v>
      </c>
      <c r="J337" s="5">
        <v>0</v>
      </c>
      <c r="K337" s="5">
        <v>0</v>
      </c>
      <c r="L337" s="6">
        <v>1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5"/>
    </row>
    <row r="338" spans="1:50" s="7" customFormat="1" x14ac:dyDescent="0.4">
      <c r="A338" s="5" t="str">
        <f t="shared" si="17"/>
        <v>八代</v>
      </c>
      <c r="B338" s="5" t="str">
        <f>"特別養護老人ホームやすらぎ荘"</f>
        <v>特別養護老人ホームやすらぎ荘</v>
      </c>
      <c r="C338" s="5" t="str">
        <f>"869-4815"</f>
        <v>869-4815</v>
      </c>
      <c r="D338" s="5" t="s">
        <v>452</v>
      </c>
      <c r="E338" s="5" t="str">
        <f>"0965520173    "</f>
        <v xml:space="preserve">0965520173    </v>
      </c>
      <c r="F338" s="5" t="str">
        <f>"社会福祉法人　白寿会"</f>
        <v>社会福祉法人　白寿会</v>
      </c>
      <c r="G338" s="5" t="str">
        <f>"S61.08.25"</f>
        <v>S61.08.25</v>
      </c>
      <c r="H338" s="5" t="str">
        <f t="shared" si="16"/>
        <v>開設中</v>
      </c>
      <c r="I338" s="5">
        <v>0</v>
      </c>
      <c r="J338" s="5">
        <v>0</v>
      </c>
      <c r="K338" s="5">
        <v>0</v>
      </c>
      <c r="L338" s="6">
        <v>1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5"/>
    </row>
    <row r="339" spans="1:50" s="7" customFormat="1" x14ac:dyDescent="0.4">
      <c r="A339" s="5" t="str">
        <f t="shared" si="17"/>
        <v>八代</v>
      </c>
      <c r="B339" s="5" t="str">
        <f>"特別養護老人ホームひかわの里"</f>
        <v>特別養護老人ホームひかわの里</v>
      </c>
      <c r="C339" s="5" t="str">
        <f>"869-4301"</f>
        <v>869-4301</v>
      </c>
      <c r="D339" s="5" t="s">
        <v>453</v>
      </c>
      <c r="E339" s="5" t="str">
        <f>"0965653100    "</f>
        <v xml:space="preserve">0965653100    </v>
      </c>
      <c r="F339" s="5" t="str">
        <f>"社会福祉法人　東泉会"</f>
        <v>社会福祉法人　東泉会</v>
      </c>
      <c r="G339" s="5" t="str">
        <f>"H08.04.01"</f>
        <v>H08.04.01</v>
      </c>
      <c r="H339" s="5" t="str">
        <f t="shared" si="16"/>
        <v>開設中</v>
      </c>
      <c r="I339" s="5">
        <v>0</v>
      </c>
      <c r="J339" s="5">
        <v>0</v>
      </c>
      <c r="K339" s="5">
        <v>0</v>
      </c>
      <c r="L339" s="6">
        <v>1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5"/>
    </row>
    <row r="340" spans="1:50" s="7" customFormat="1" x14ac:dyDescent="0.4">
      <c r="A340" s="5" t="str">
        <f t="shared" si="17"/>
        <v>八代</v>
      </c>
      <c r="B340" s="5" t="str">
        <f>"横田診療所"</f>
        <v>横田診療所</v>
      </c>
      <c r="C340" s="5" t="str">
        <f>"869-4401"</f>
        <v>869-4401</v>
      </c>
      <c r="D340" s="5" t="s">
        <v>454</v>
      </c>
      <c r="E340" s="5" t="str">
        <f>"0965672010    "</f>
        <v xml:space="preserve">0965672010    </v>
      </c>
      <c r="F340" s="5" t="str">
        <f>"横田　三郎"</f>
        <v>横田　三郎</v>
      </c>
      <c r="G340" s="5" t="str">
        <f>"H14.01.01"</f>
        <v>H14.01.01</v>
      </c>
      <c r="H340" s="5" t="str">
        <f t="shared" si="16"/>
        <v>開設中</v>
      </c>
      <c r="I340" s="5">
        <v>0</v>
      </c>
      <c r="J340" s="5">
        <v>0</v>
      </c>
      <c r="K340" s="5">
        <v>0</v>
      </c>
      <c r="L340" s="6">
        <v>1</v>
      </c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>
        <v>1</v>
      </c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5"/>
    </row>
    <row r="341" spans="1:50" s="7" customFormat="1" x14ac:dyDescent="0.4">
      <c r="A341" s="5" t="str">
        <f t="shared" si="17"/>
        <v>八代</v>
      </c>
      <c r="B341" s="5" t="str">
        <f>"本町眼科"</f>
        <v>本町眼科</v>
      </c>
      <c r="C341" s="5" t="str">
        <f>"866-0045"</f>
        <v>866-0045</v>
      </c>
      <c r="D341" s="5" t="s">
        <v>455</v>
      </c>
      <c r="E341" s="5" t="str">
        <f>"0965310611    "</f>
        <v xml:space="preserve">0965310611    </v>
      </c>
      <c r="F341" s="5" t="str">
        <f>"医療法人　米澤会"</f>
        <v>医療法人　米澤会</v>
      </c>
      <c r="G341" s="5" t="str">
        <f>"H17.06.22"</f>
        <v>H17.06.22</v>
      </c>
      <c r="H341" s="5" t="str">
        <f t="shared" si="16"/>
        <v>開設中</v>
      </c>
      <c r="I341" s="5">
        <v>0</v>
      </c>
      <c r="J341" s="5">
        <v>0</v>
      </c>
      <c r="K341" s="5">
        <v>0</v>
      </c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>
        <v>1</v>
      </c>
      <c r="AO341" s="6"/>
      <c r="AP341" s="6"/>
      <c r="AQ341" s="6"/>
      <c r="AR341" s="6"/>
      <c r="AS341" s="6"/>
      <c r="AT341" s="6"/>
      <c r="AU341" s="6"/>
      <c r="AV341" s="6"/>
      <c r="AW341" s="6"/>
      <c r="AX341" s="5"/>
    </row>
    <row r="342" spans="1:50" s="7" customFormat="1" x14ac:dyDescent="0.4">
      <c r="A342" s="5" t="str">
        <f t="shared" si="17"/>
        <v>八代</v>
      </c>
      <c r="B342" s="5" t="str">
        <f>"荒木医院"</f>
        <v>荒木医院</v>
      </c>
      <c r="C342" s="5" t="str">
        <f>"866-0065"</f>
        <v>866-0065</v>
      </c>
      <c r="D342" s="5" t="s">
        <v>456</v>
      </c>
      <c r="E342" s="5" t="str">
        <f>"0965323258    "</f>
        <v xml:space="preserve">0965323258    </v>
      </c>
      <c r="F342" s="5" t="str">
        <f>"医療法人　こころ"</f>
        <v>医療法人　こころ</v>
      </c>
      <c r="G342" s="5" t="str">
        <f>"H17.08.22"</f>
        <v>H17.08.22</v>
      </c>
      <c r="H342" s="5" t="str">
        <f t="shared" si="16"/>
        <v>開設中</v>
      </c>
      <c r="I342" s="5">
        <v>0</v>
      </c>
      <c r="J342" s="5">
        <v>0</v>
      </c>
      <c r="K342" s="5">
        <v>0</v>
      </c>
      <c r="L342" s="6">
        <v>1</v>
      </c>
      <c r="M342" s="6">
        <v>1</v>
      </c>
      <c r="N342" s="6">
        <v>1</v>
      </c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5"/>
    </row>
    <row r="343" spans="1:50" s="7" customFormat="1" x14ac:dyDescent="0.4">
      <c r="A343" s="5" t="str">
        <f t="shared" si="17"/>
        <v>八代</v>
      </c>
      <c r="B343" s="5" t="str">
        <f>"八代市立椎原診療所"</f>
        <v>八代市立椎原診療所</v>
      </c>
      <c r="C343" s="5" t="str">
        <f>"869-4514"</f>
        <v>869-4514</v>
      </c>
      <c r="D343" s="5" t="s">
        <v>457</v>
      </c>
      <c r="E343" s="5" t="str">
        <f>"0965675151    "</f>
        <v xml:space="preserve">0965675151    </v>
      </c>
      <c r="F343" s="5" t="str">
        <f>"八代市"</f>
        <v>八代市</v>
      </c>
      <c r="G343" s="5" t="str">
        <f>"H17.08.01"</f>
        <v>H17.08.01</v>
      </c>
      <c r="H343" s="5" t="str">
        <f t="shared" si="16"/>
        <v>開設中</v>
      </c>
      <c r="I343" s="5">
        <v>0</v>
      </c>
      <c r="J343" s="5">
        <v>0</v>
      </c>
      <c r="K343" s="5">
        <v>0</v>
      </c>
      <c r="L343" s="6">
        <v>1</v>
      </c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>
        <v>1</v>
      </c>
      <c r="X343" s="6">
        <v>1</v>
      </c>
      <c r="Y343" s="6">
        <v>1</v>
      </c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5"/>
    </row>
    <row r="344" spans="1:50" s="7" customFormat="1" x14ac:dyDescent="0.4">
      <c r="A344" s="5" t="str">
        <f t="shared" ref="A344:A375" si="18">"八代"</f>
        <v>八代</v>
      </c>
      <c r="B344" s="5" t="str">
        <f>"八代市立下岳診療所"</f>
        <v>八代市立下岳診療所</v>
      </c>
      <c r="C344" s="5" t="str">
        <f>"869-4403"</f>
        <v>869-4403</v>
      </c>
      <c r="D344" s="5" t="s">
        <v>458</v>
      </c>
      <c r="E344" s="5" t="str">
        <f>"0965673405    "</f>
        <v xml:space="preserve">0965673405    </v>
      </c>
      <c r="F344" s="5" t="str">
        <f>"八代市"</f>
        <v>八代市</v>
      </c>
      <c r="G344" s="5" t="str">
        <f>"H17.08.01"</f>
        <v>H17.08.01</v>
      </c>
      <c r="H344" s="5" t="str">
        <f t="shared" ref="H344:H407" si="19">"開設中"</f>
        <v>開設中</v>
      </c>
      <c r="I344" s="5">
        <v>0</v>
      </c>
      <c r="J344" s="5">
        <v>0</v>
      </c>
      <c r="K344" s="5">
        <v>0</v>
      </c>
      <c r="L344" s="6">
        <v>1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>
        <v>1</v>
      </c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5"/>
    </row>
    <row r="345" spans="1:50" x14ac:dyDescent="0.4">
      <c r="A345" s="1" t="str">
        <f t="shared" si="18"/>
        <v>八代</v>
      </c>
      <c r="B345" s="1" t="str">
        <f>"右田クリニック"</f>
        <v>右田クリニック</v>
      </c>
      <c r="C345" s="1" t="str">
        <f>"866-0842"</f>
        <v>866-0842</v>
      </c>
      <c r="D345" s="1" t="s">
        <v>459</v>
      </c>
      <c r="E345" s="1" t="str">
        <f>"0965358211    "</f>
        <v xml:space="preserve">0965358211    </v>
      </c>
      <c r="F345" s="1" t="str">
        <f>"医療法人　右田会"</f>
        <v>医療法人　右田会</v>
      </c>
      <c r="G345" s="1" t="str">
        <f>"H18.03.01"</f>
        <v>H18.03.01</v>
      </c>
      <c r="H345" s="1" t="str">
        <f t="shared" si="19"/>
        <v>開設中</v>
      </c>
      <c r="I345" s="1">
        <v>10</v>
      </c>
      <c r="J345" s="1">
        <v>10</v>
      </c>
      <c r="K345" s="1">
        <v>0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>
        <v>1</v>
      </c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1"/>
    </row>
    <row r="346" spans="1:50" x14ac:dyDescent="0.4">
      <c r="A346" s="1" t="str">
        <f t="shared" si="18"/>
        <v>八代</v>
      </c>
      <c r="B346" s="1" t="str">
        <f>"みやもと泌尿器科クリニック"</f>
        <v>みやもと泌尿器科クリニック</v>
      </c>
      <c r="C346" s="1" t="str">
        <f>"866-0885"</f>
        <v>866-0885</v>
      </c>
      <c r="D346" s="1" t="s">
        <v>460</v>
      </c>
      <c r="E346" s="1" t="str">
        <f>"0965321600    "</f>
        <v xml:space="preserve">0965321600    </v>
      </c>
      <c r="F346" s="1" t="str">
        <f>"医療法人社団　純幸会"</f>
        <v>医療法人社団　純幸会</v>
      </c>
      <c r="G346" s="1" t="str">
        <f>"H18.05.17"</f>
        <v>H18.05.17</v>
      </c>
      <c r="H346" s="1" t="str">
        <f t="shared" si="19"/>
        <v>開設中</v>
      </c>
      <c r="I346" s="1">
        <v>0</v>
      </c>
      <c r="J346" s="1">
        <v>0</v>
      </c>
      <c r="K346" s="1">
        <v>0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>
        <v>1</v>
      </c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1"/>
    </row>
    <row r="347" spans="1:50" x14ac:dyDescent="0.4">
      <c r="A347" s="1" t="str">
        <f t="shared" si="18"/>
        <v>八代</v>
      </c>
      <c r="B347" s="1" t="str">
        <f>"太田こどもクリニック"</f>
        <v>太田こどもクリニック</v>
      </c>
      <c r="C347" s="1" t="str">
        <f>"866-0891"</f>
        <v>866-0891</v>
      </c>
      <c r="D347" s="1" t="s">
        <v>461</v>
      </c>
      <c r="E347" s="1" t="str">
        <f>"0965308380    "</f>
        <v xml:space="preserve">0965308380    </v>
      </c>
      <c r="F347" s="1" t="str">
        <f>"太田浩二"</f>
        <v>太田浩二</v>
      </c>
      <c r="G347" s="1" t="str">
        <f>"H17.04.01"</f>
        <v>H17.04.01</v>
      </c>
      <c r="H347" s="1" t="str">
        <f t="shared" si="19"/>
        <v>開設中</v>
      </c>
      <c r="I347" s="1">
        <v>0</v>
      </c>
      <c r="J347" s="1">
        <v>0</v>
      </c>
      <c r="K347" s="1">
        <v>0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>
        <v>1</v>
      </c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1"/>
    </row>
    <row r="348" spans="1:50" x14ac:dyDescent="0.4">
      <c r="A348" s="1" t="str">
        <f t="shared" si="18"/>
        <v>八代</v>
      </c>
      <c r="B348" s="1" t="str">
        <f>"泉内科医院"</f>
        <v>泉内科医院</v>
      </c>
      <c r="C348" s="1" t="str">
        <f>"866-0893"</f>
        <v>866-0893</v>
      </c>
      <c r="D348" s="1" t="s">
        <v>462</v>
      </c>
      <c r="E348" s="1" t="str">
        <f>"0965356780    "</f>
        <v xml:space="preserve">0965356780    </v>
      </c>
      <c r="F348" s="1" t="str">
        <f>"医療法人社団　五常会"</f>
        <v>医療法人社団　五常会</v>
      </c>
      <c r="G348" s="1" t="str">
        <f>"H18.09.01"</f>
        <v>H18.09.01</v>
      </c>
      <c r="H348" s="1" t="str">
        <f t="shared" si="19"/>
        <v>開設中</v>
      </c>
      <c r="I348" s="1">
        <v>19</v>
      </c>
      <c r="J348" s="1">
        <v>19</v>
      </c>
      <c r="K348" s="1">
        <v>0</v>
      </c>
      <c r="L348" s="2"/>
      <c r="M348" s="2"/>
      <c r="N348" s="2"/>
      <c r="O348" s="2"/>
      <c r="P348" s="2">
        <v>1</v>
      </c>
      <c r="Q348" s="2">
        <v>1</v>
      </c>
      <c r="R348" s="2">
        <v>1</v>
      </c>
      <c r="S348" s="2"/>
      <c r="T348" s="2">
        <v>1</v>
      </c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1"/>
    </row>
    <row r="349" spans="1:50" x14ac:dyDescent="0.4">
      <c r="A349" s="1" t="str">
        <f t="shared" si="18"/>
        <v>八代</v>
      </c>
      <c r="B349" s="1" t="str">
        <f>"よかと整形外科リウマチクリニック"</f>
        <v>よかと整形外科リウマチクリニック</v>
      </c>
      <c r="C349" s="1" t="str">
        <f>"869-4201"</f>
        <v>869-4201</v>
      </c>
      <c r="D349" s="1" t="s">
        <v>463</v>
      </c>
      <c r="E349" s="1" t="str">
        <f>"0965468110    "</f>
        <v xml:space="preserve">0965468110    </v>
      </c>
      <c r="F349" s="1" t="str">
        <f>"医療法人　西圭壽会"</f>
        <v>医療法人　西圭壽会</v>
      </c>
      <c r="G349" s="1" t="str">
        <f>"H18.09.01"</f>
        <v>H18.09.01</v>
      </c>
      <c r="H349" s="1" t="str">
        <f t="shared" si="19"/>
        <v>開設中</v>
      </c>
      <c r="I349" s="1">
        <v>0</v>
      </c>
      <c r="J349" s="1">
        <v>0</v>
      </c>
      <c r="K349" s="1">
        <v>0</v>
      </c>
      <c r="L349" s="2">
        <v>1</v>
      </c>
      <c r="M349" s="2"/>
      <c r="N349" s="2"/>
      <c r="O349" s="2"/>
      <c r="P349" s="2"/>
      <c r="Q349" s="2"/>
      <c r="R349" s="2"/>
      <c r="S349" s="2"/>
      <c r="T349" s="2"/>
      <c r="U349" s="2"/>
      <c r="V349" s="2">
        <v>1</v>
      </c>
      <c r="W349" s="2"/>
      <c r="X349" s="2"/>
      <c r="Y349" s="2">
        <v>1</v>
      </c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>
        <v>1</v>
      </c>
      <c r="AR349" s="2"/>
      <c r="AS349" s="2"/>
      <c r="AT349" s="2"/>
      <c r="AU349" s="2"/>
      <c r="AV349" s="2"/>
      <c r="AW349" s="2"/>
      <c r="AX349" s="1"/>
    </row>
    <row r="350" spans="1:50" x14ac:dyDescent="0.4">
      <c r="A350" s="1" t="str">
        <f t="shared" si="18"/>
        <v>八代</v>
      </c>
      <c r="B350" s="1" t="str">
        <f>"鶴田胃腸科内科"</f>
        <v>鶴田胃腸科内科</v>
      </c>
      <c r="C350" s="1" t="str">
        <f>"866-0896"</f>
        <v>866-0896</v>
      </c>
      <c r="D350" s="1" t="s">
        <v>464</v>
      </c>
      <c r="E350" s="1" t="str">
        <f>"0965315000    "</f>
        <v xml:space="preserve">0965315000    </v>
      </c>
      <c r="F350" s="1" t="str">
        <f>"医療法人　博真会"</f>
        <v>医療法人　博真会</v>
      </c>
      <c r="G350" s="1" t="str">
        <f>"H18.12.01"</f>
        <v>H18.12.01</v>
      </c>
      <c r="H350" s="1" t="str">
        <f t="shared" si="19"/>
        <v>開設中</v>
      </c>
      <c r="I350" s="1">
        <v>16</v>
      </c>
      <c r="J350" s="1">
        <v>16</v>
      </c>
      <c r="K350" s="1">
        <v>0</v>
      </c>
      <c r="L350" s="2">
        <v>1</v>
      </c>
      <c r="M350" s="2"/>
      <c r="N350" s="2"/>
      <c r="O350" s="2"/>
      <c r="P350" s="2"/>
      <c r="Q350" s="2"/>
      <c r="R350" s="2"/>
      <c r="S350" s="2">
        <v>1</v>
      </c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1"/>
    </row>
    <row r="351" spans="1:50" x14ac:dyDescent="0.4">
      <c r="A351" s="1" t="str">
        <f t="shared" si="18"/>
        <v>八代</v>
      </c>
      <c r="B351" s="1" t="str">
        <f>"やつしろ眼科"</f>
        <v>やつしろ眼科</v>
      </c>
      <c r="C351" s="1" t="str">
        <f>"866-0885"</f>
        <v>866-0885</v>
      </c>
      <c r="D351" s="1" t="s">
        <v>465</v>
      </c>
      <c r="E351" s="1" t="str">
        <f>"0965355551    "</f>
        <v xml:space="preserve">0965355551    </v>
      </c>
      <c r="F351" s="1" t="str">
        <f>"医療法人　八代眼科"</f>
        <v>医療法人　八代眼科</v>
      </c>
      <c r="G351" s="1" t="str">
        <f>"H19.04.01"</f>
        <v>H19.04.01</v>
      </c>
      <c r="H351" s="1" t="str">
        <f t="shared" si="19"/>
        <v>開設中</v>
      </c>
      <c r="I351" s="1">
        <v>0</v>
      </c>
      <c r="J351" s="1">
        <v>0</v>
      </c>
      <c r="K351" s="1">
        <v>0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>
        <v>1</v>
      </c>
      <c r="AO351" s="2"/>
      <c r="AP351" s="2"/>
      <c r="AQ351" s="2"/>
      <c r="AR351" s="2"/>
      <c r="AS351" s="2"/>
      <c r="AT351" s="2"/>
      <c r="AU351" s="2"/>
      <c r="AV351" s="2"/>
      <c r="AW351" s="2"/>
      <c r="AX351" s="1"/>
    </row>
    <row r="352" spans="1:50" x14ac:dyDescent="0.4">
      <c r="A352" s="1" t="str">
        <f t="shared" si="18"/>
        <v>八代</v>
      </c>
      <c r="B352" s="1" t="str">
        <f>"浜田呼吸器科内科クリニック"</f>
        <v>浜田呼吸器科内科クリニック</v>
      </c>
      <c r="C352" s="1" t="str">
        <f>"866-0895"</f>
        <v>866-0895</v>
      </c>
      <c r="D352" s="1" t="s">
        <v>466</v>
      </c>
      <c r="E352" s="1" t="str">
        <f>"0965317622    "</f>
        <v xml:space="preserve">0965317622    </v>
      </c>
      <c r="F352" s="1" t="str">
        <f>"医療法人社団　博慈会"</f>
        <v>医療法人社団　博慈会</v>
      </c>
      <c r="G352" s="1" t="str">
        <f>"H19.05.01"</f>
        <v>H19.05.01</v>
      </c>
      <c r="H352" s="1" t="str">
        <f t="shared" si="19"/>
        <v>開設中</v>
      </c>
      <c r="I352" s="1">
        <v>0</v>
      </c>
      <c r="J352" s="1">
        <v>0</v>
      </c>
      <c r="K352" s="1">
        <v>0</v>
      </c>
      <c r="L352" s="2">
        <v>1</v>
      </c>
      <c r="M352" s="2"/>
      <c r="N352" s="2"/>
      <c r="O352" s="2"/>
      <c r="P352" s="2"/>
      <c r="Q352" s="2">
        <v>1</v>
      </c>
      <c r="R352" s="2">
        <v>1</v>
      </c>
      <c r="S352" s="2">
        <v>1</v>
      </c>
      <c r="T352" s="2">
        <v>1</v>
      </c>
      <c r="U352" s="2">
        <v>1</v>
      </c>
      <c r="V352" s="2">
        <v>1</v>
      </c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>
        <v>1</v>
      </c>
      <c r="AS352" s="2"/>
      <c r="AT352" s="2"/>
      <c r="AU352" s="2"/>
      <c r="AV352" s="2"/>
      <c r="AW352" s="2"/>
      <c r="AX352" s="1"/>
    </row>
    <row r="353" spans="1:50" x14ac:dyDescent="0.4">
      <c r="A353" s="1" t="str">
        <f t="shared" si="18"/>
        <v>八代</v>
      </c>
      <c r="B353" s="1" t="str">
        <f>"後藤胃腸科肛門科クリニック"</f>
        <v>後藤胃腸科肛門科クリニック</v>
      </c>
      <c r="C353" s="1" t="str">
        <f>"866-0055"</f>
        <v>866-0055</v>
      </c>
      <c r="D353" s="1" t="s">
        <v>467</v>
      </c>
      <c r="E353" s="1" t="str">
        <f>"0965332661    "</f>
        <v xml:space="preserve">0965332661    </v>
      </c>
      <c r="F353" s="1" t="str">
        <f>"後藤　達哉"</f>
        <v>後藤　達哉</v>
      </c>
      <c r="G353" s="1" t="str">
        <f>"H19.06.01"</f>
        <v>H19.06.01</v>
      </c>
      <c r="H353" s="1" t="str">
        <f t="shared" si="19"/>
        <v>開設中</v>
      </c>
      <c r="I353" s="1">
        <v>0</v>
      </c>
      <c r="J353" s="1">
        <v>0</v>
      </c>
      <c r="K353" s="1">
        <v>0</v>
      </c>
      <c r="L353" s="2">
        <v>1</v>
      </c>
      <c r="M353" s="2"/>
      <c r="N353" s="2"/>
      <c r="O353" s="2"/>
      <c r="P353" s="2"/>
      <c r="Q353" s="2"/>
      <c r="R353" s="2"/>
      <c r="S353" s="2">
        <v>1</v>
      </c>
      <c r="T353" s="2"/>
      <c r="U353" s="2"/>
      <c r="V353" s="2"/>
      <c r="W353" s="2"/>
      <c r="X353" s="2">
        <v>1</v>
      </c>
      <c r="Y353" s="2"/>
      <c r="Z353" s="2"/>
      <c r="AA353" s="2"/>
      <c r="AB353" s="2"/>
      <c r="AC353" s="2"/>
      <c r="AD353" s="2"/>
      <c r="AE353" s="2"/>
      <c r="AF353" s="2"/>
      <c r="AG353" s="2">
        <v>1</v>
      </c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1"/>
    </row>
    <row r="354" spans="1:50" x14ac:dyDescent="0.4">
      <c r="A354" s="1" t="str">
        <f t="shared" si="18"/>
        <v>八代</v>
      </c>
      <c r="B354" s="1" t="str">
        <f>"特別養護老人ホームみなみ園　付属診療所"</f>
        <v>特別養護老人ホームみなみ園　付属診療所</v>
      </c>
      <c r="C354" s="1" t="str">
        <f>"869-5141"</f>
        <v>869-5141</v>
      </c>
      <c r="D354" s="1" t="s">
        <v>468</v>
      </c>
      <c r="E354" s="1" t="str">
        <f>"0965383730    "</f>
        <v xml:space="preserve">0965383730    </v>
      </c>
      <c r="F354" s="1" t="str">
        <f>"社会福祉法人　敬愛会"</f>
        <v>社会福祉法人　敬愛会</v>
      </c>
      <c r="G354" s="1" t="str">
        <f>"H20.04.08"</f>
        <v>H20.04.08</v>
      </c>
      <c r="H354" s="1" t="str">
        <f t="shared" si="19"/>
        <v>開設中</v>
      </c>
      <c r="I354" s="1">
        <v>0</v>
      </c>
      <c r="J354" s="1">
        <v>0</v>
      </c>
      <c r="K354" s="1">
        <v>0</v>
      </c>
      <c r="L354" s="2">
        <v>1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1"/>
    </row>
    <row r="355" spans="1:50" x14ac:dyDescent="0.4">
      <c r="A355" s="1" t="str">
        <f t="shared" si="18"/>
        <v>八代</v>
      </c>
      <c r="B355" s="1" t="str">
        <f>"特別養護老人ホーム希望　医務室"</f>
        <v>特別養護老人ホーム希望　医務室</v>
      </c>
      <c r="C355" s="1" t="str">
        <f>"869-4614"</f>
        <v>869-4614</v>
      </c>
      <c r="D355" s="1" t="s">
        <v>469</v>
      </c>
      <c r="E355" s="1" t="str">
        <f>"0965391120    "</f>
        <v xml:space="preserve">0965391120    </v>
      </c>
      <c r="F355" s="1" t="str">
        <f>"社会福祉法人　龍峯会"</f>
        <v>社会福祉法人　龍峯会</v>
      </c>
      <c r="G355" s="1" t="str">
        <f>"H20.05.01"</f>
        <v>H20.05.01</v>
      </c>
      <c r="H355" s="1" t="str">
        <f t="shared" si="19"/>
        <v>開設中</v>
      </c>
      <c r="I355" s="1">
        <v>0</v>
      </c>
      <c r="J355" s="1">
        <v>0</v>
      </c>
      <c r="K355" s="1">
        <v>0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>
        <v>1</v>
      </c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>
        <v>1</v>
      </c>
      <c r="AR355" s="2"/>
      <c r="AS355" s="2"/>
      <c r="AT355" s="2"/>
      <c r="AU355" s="2"/>
      <c r="AV355" s="2"/>
      <c r="AW355" s="2"/>
      <c r="AX355" s="1"/>
    </row>
    <row r="356" spans="1:50" x14ac:dyDescent="0.4">
      <c r="A356" s="1" t="str">
        <f t="shared" si="18"/>
        <v>八代</v>
      </c>
      <c r="B356" s="1" t="str">
        <f>"福田外科・整形外科クリニック"</f>
        <v>福田外科・整形外科クリニック</v>
      </c>
      <c r="C356" s="1" t="str">
        <f>"869-4202"</f>
        <v>869-4202</v>
      </c>
      <c r="D356" s="1" t="s">
        <v>470</v>
      </c>
      <c r="E356" s="1" t="str">
        <f>"0965520840    "</f>
        <v xml:space="preserve">0965520840    </v>
      </c>
      <c r="F356" s="1" t="str">
        <f>"医療法人社団　福田会"</f>
        <v>医療法人社団　福田会</v>
      </c>
      <c r="G356" s="1" t="str">
        <f>"H20.08.01"</f>
        <v>H20.08.01</v>
      </c>
      <c r="H356" s="1" t="str">
        <f t="shared" si="19"/>
        <v>開設中</v>
      </c>
      <c r="I356" s="1">
        <v>0</v>
      </c>
      <c r="J356" s="1">
        <v>0</v>
      </c>
      <c r="K356" s="1">
        <v>0</v>
      </c>
      <c r="L356" s="2">
        <v>1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>
        <v>1</v>
      </c>
      <c r="Y356" s="2">
        <v>1</v>
      </c>
      <c r="Z356" s="2"/>
      <c r="AA356" s="2"/>
      <c r="AB356" s="2">
        <v>1</v>
      </c>
      <c r="AC356" s="2"/>
      <c r="AD356" s="2"/>
      <c r="AE356" s="2"/>
      <c r="AF356" s="2"/>
      <c r="AG356" s="2"/>
      <c r="AH356" s="2"/>
      <c r="AI356" s="2">
        <v>1</v>
      </c>
      <c r="AJ356" s="2"/>
      <c r="AK356" s="2"/>
      <c r="AL356" s="2"/>
      <c r="AM356" s="2"/>
      <c r="AN356" s="2"/>
      <c r="AO356" s="2"/>
      <c r="AP356" s="2"/>
      <c r="AQ356" s="2">
        <v>1</v>
      </c>
      <c r="AR356" s="2"/>
      <c r="AS356" s="2"/>
      <c r="AT356" s="2"/>
      <c r="AU356" s="2"/>
      <c r="AV356" s="2"/>
      <c r="AW356" s="2"/>
      <c r="AX356" s="1"/>
    </row>
    <row r="357" spans="1:50" x14ac:dyDescent="0.4">
      <c r="A357" s="1" t="str">
        <f t="shared" si="18"/>
        <v>八代</v>
      </c>
      <c r="B357" s="1" t="str">
        <f>"社会福祉法人東泉会　救護施設　千草寮"</f>
        <v>社会福祉法人東泉会　救護施設　千草寮</v>
      </c>
      <c r="C357" s="1" t="str">
        <f>"869-4701"</f>
        <v>869-4701</v>
      </c>
      <c r="D357" s="1" t="s">
        <v>471</v>
      </c>
      <c r="E357" s="1" t="str">
        <f>"0965460032    "</f>
        <v xml:space="preserve">0965460032    </v>
      </c>
      <c r="F357" s="1" t="str">
        <f>"社会福祉法人　東泉会"</f>
        <v>社会福祉法人　東泉会</v>
      </c>
      <c r="G357" s="1" t="str">
        <f>"H21.04.01"</f>
        <v>H21.04.01</v>
      </c>
      <c r="H357" s="1" t="str">
        <f t="shared" si="19"/>
        <v>開設中</v>
      </c>
      <c r="I357" s="1">
        <v>0</v>
      </c>
      <c r="J357" s="1">
        <v>0</v>
      </c>
      <c r="K357" s="1">
        <v>0</v>
      </c>
      <c r="L357" s="2">
        <v>1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1"/>
    </row>
    <row r="358" spans="1:50" x14ac:dyDescent="0.4">
      <c r="A358" s="1" t="str">
        <f t="shared" si="18"/>
        <v>八代</v>
      </c>
      <c r="B358" s="1" t="str">
        <f>"ふくとみクリニック"</f>
        <v>ふくとみクリニック</v>
      </c>
      <c r="C358" s="1" t="str">
        <f>"866-0843"</f>
        <v>866-0843</v>
      </c>
      <c r="D358" s="1" t="s">
        <v>472</v>
      </c>
      <c r="E358" s="1" t="str">
        <f>"0965332913    "</f>
        <v xml:space="preserve">0965332913    </v>
      </c>
      <c r="F358" s="1" t="str">
        <f>"福冨　康宰"</f>
        <v>福冨　康宰</v>
      </c>
      <c r="G358" s="1" t="str">
        <f>"H21.02.16"</f>
        <v>H21.02.16</v>
      </c>
      <c r="H358" s="1" t="str">
        <f t="shared" si="19"/>
        <v>開設中</v>
      </c>
      <c r="I358" s="1">
        <v>0</v>
      </c>
      <c r="J358" s="1">
        <v>0</v>
      </c>
      <c r="K358" s="1">
        <v>0</v>
      </c>
      <c r="L358" s="2">
        <v>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1" t="s">
        <v>62</v>
      </c>
    </row>
    <row r="359" spans="1:50" x14ac:dyDescent="0.4">
      <c r="A359" s="1" t="str">
        <f t="shared" si="18"/>
        <v>八代</v>
      </c>
      <c r="B359" s="1" t="str">
        <f>"春野医院"</f>
        <v>春野医院</v>
      </c>
      <c r="C359" s="1" t="str">
        <f>"866-0865"</f>
        <v>866-0865</v>
      </c>
      <c r="D359" s="1" t="s">
        <v>473</v>
      </c>
      <c r="E359" s="1" t="str">
        <f>"0965356111    "</f>
        <v xml:space="preserve">0965356111    </v>
      </c>
      <c r="F359" s="1" t="str">
        <f>"医療法人社団　一真会"</f>
        <v>医療法人社団　一真会</v>
      </c>
      <c r="G359" s="1" t="str">
        <f>"H22.05.01"</f>
        <v>H22.05.01</v>
      </c>
      <c r="H359" s="1" t="str">
        <f t="shared" si="19"/>
        <v>開設中</v>
      </c>
      <c r="I359" s="1">
        <v>0</v>
      </c>
      <c r="J359" s="1">
        <v>0</v>
      </c>
      <c r="K359" s="1">
        <v>0</v>
      </c>
      <c r="L359" s="2"/>
      <c r="M359" s="2"/>
      <c r="N359" s="2"/>
      <c r="O359" s="2"/>
      <c r="P359" s="2"/>
      <c r="Q359" s="2">
        <v>1</v>
      </c>
      <c r="R359" s="2"/>
      <c r="S359" s="2"/>
      <c r="T359" s="2"/>
      <c r="U359" s="2">
        <v>1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>
        <v>1</v>
      </c>
      <c r="AP359" s="2">
        <v>1</v>
      </c>
      <c r="AQ359" s="2"/>
      <c r="AR359" s="2"/>
      <c r="AS359" s="2"/>
      <c r="AT359" s="2"/>
      <c r="AU359" s="2"/>
      <c r="AV359" s="2"/>
      <c r="AW359" s="2"/>
      <c r="AX359" s="1"/>
    </row>
    <row r="360" spans="1:50" x14ac:dyDescent="0.4">
      <c r="A360" s="1" t="str">
        <f t="shared" si="18"/>
        <v>八代</v>
      </c>
      <c r="B360" s="1" t="str">
        <f>"西医院"</f>
        <v>西医院</v>
      </c>
      <c r="C360" s="1" t="str">
        <f>"866-0021"</f>
        <v>866-0021</v>
      </c>
      <c r="D360" s="1" t="s">
        <v>474</v>
      </c>
      <c r="E360" s="1" t="str">
        <f>"0965370157    "</f>
        <v xml:space="preserve">0965370157    </v>
      </c>
      <c r="F360" s="1" t="str">
        <f>"西　文明"</f>
        <v>西　文明</v>
      </c>
      <c r="G360" s="1" t="str">
        <f>"H22.12.25"</f>
        <v>H22.12.25</v>
      </c>
      <c r="H360" s="1" t="str">
        <f t="shared" si="19"/>
        <v>開設中</v>
      </c>
      <c r="I360" s="1">
        <v>0</v>
      </c>
      <c r="J360" s="1">
        <v>0</v>
      </c>
      <c r="K360" s="1">
        <v>0</v>
      </c>
      <c r="L360" s="2">
        <v>1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>
        <v>1</v>
      </c>
      <c r="AS360" s="2"/>
      <c r="AT360" s="2"/>
      <c r="AU360" s="2"/>
      <c r="AV360" s="2"/>
      <c r="AW360" s="2"/>
      <c r="AX360" s="1"/>
    </row>
    <row r="361" spans="1:50" x14ac:dyDescent="0.4">
      <c r="A361" s="1" t="str">
        <f t="shared" si="18"/>
        <v>八代</v>
      </c>
      <c r="B361" s="1" t="str">
        <f>"髙田胃腸内科・内科"</f>
        <v>髙田胃腸内科・内科</v>
      </c>
      <c r="C361" s="1" t="str">
        <f>"866-0895"</f>
        <v>866-0895</v>
      </c>
      <c r="D361" s="1" t="s">
        <v>475</v>
      </c>
      <c r="E361" s="1" t="str">
        <f>"0965377200    "</f>
        <v xml:space="preserve">0965377200    </v>
      </c>
      <c r="F361" s="1" t="str">
        <f>"医療法人社団　信会"</f>
        <v>医療法人社団　信会</v>
      </c>
      <c r="G361" s="1" t="str">
        <f>"H23.07.01"</f>
        <v>H23.07.01</v>
      </c>
      <c r="H361" s="1" t="str">
        <f t="shared" si="19"/>
        <v>開設中</v>
      </c>
      <c r="I361" s="1">
        <v>0</v>
      </c>
      <c r="J361" s="1">
        <v>0</v>
      </c>
      <c r="K361" s="1">
        <v>0</v>
      </c>
      <c r="L361" s="2">
        <v>1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1" t="s">
        <v>62</v>
      </c>
    </row>
    <row r="362" spans="1:50" x14ac:dyDescent="0.4">
      <c r="A362" s="1" t="str">
        <f t="shared" si="18"/>
        <v>八代</v>
      </c>
      <c r="B362" s="1" t="str">
        <f>"長谷川整形外科医院"</f>
        <v>長谷川整形外科医院</v>
      </c>
      <c r="C362" s="1" t="str">
        <f>"866-0893"</f>
        <v>866-0893</v>
      </c>
      <c r="D362" s="1" t="s">
        <v>476</v>
      </c>
      <c r="E362" s="1" t="str">
        <f>"0965353125    "</f>
        <v xml:space="preserve">0965353125    </v>
      </c>
      <c r="F362" s="1" t="str">
        <f>"医療法人社団　真和会"</f>
        <v>医療法人社団　真和会</v>
      </c>
      <c r="G362" s="1" t="str">
        <f>"H24.01.01"</f>
        <v>H24.01.01</v>
      </c>
      <c r="H362" s="1" t="str">
        <f t="shared" si="19"/>
        <v>開設中</v>
      </c>
      <c r="I362" s="1">
        <v>0</v>
      </c>
      <c r="J362" s="1">
        <v>0</v>
      </c>
      <c r="K362" s="1">
        <v>0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>
        <v>1</v>
      </c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1"/>
    </row>
    <row r="363" spans="1:50" x14ac:dyDescent="0.4">
      <c r="A363" s="1" t="str">
        <f t="shared" si="18"/>
        <v>八代</v>
      </c>
      <c r="B363" s="1" t="str">
        <f>"増田内科・胃腸内科"</f>
        <v>増田内科・胃腸内科</v>
      </c>
      <c r="C363" s="1" t="str">
        <f>"866-0885"</f>
        <v>866-0885</v>
      </c>
      <c r="D363" s="1" t="s">
        <v>477</v>
      </c>
      <c r="E363" s="1" t="str">
        <f>"0965628100    "</f>
        <v xml:space="preserve">0965628100    </v>
      </c>
      <c r="F363" s="1" t="str">
        <f>"医療法人社団　陽志会"</f>
        <v>医療法人社団　陽志会</v>
      </c>
      <c r="G363" s="1" t="str">
        <f>"H24.04.01"</f>
        <v>H24.04.01</v>
      </c>
      <c r="H363" s="1" t="str">
        <f t="shared" si="19"/>
        <v>開設中</v>
      </c>
      <c r="I363" s="1">
        <v>0</v>
      </c>
      <c r="J363" s="1">
        <v>0</v>
      </c>
      <c r="K363" s="1">
        <v>0</v>
      </c>
      <c r="L363" s="2">
        <v>1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1" t="s">
        <v>82</v>
      </c>
    </row>
    <row r="364" spans="1:50" x14ac:dyDescent="0.4">
      <c r="A364" s="1" t="str">
        <f t="shared" si="18"/>
        <v>八代</v>
      </c>
      <c r="B364" s="1" t="str">
        <f>"ひかわ医院"</f>
        <v>ひかわ医院</v>
      </c>
      <c r="C364" s="1" t="str">
        <f>"869-4814"</f>
        <v>869-4814</v>
      </c>
      <c r="D364" s="1" t="s">
        <v>478</v>
      </c>
      <c r="E364" s="1" t="str">
        <f>"0965628139    "</f>
        <v xml:space="preserve">0965628139    </v>
      </c>
      <c r="F364" s="1" t="str">
        <f>"岡本　健宏"</f>
        <v>岡本　健宏</v>
      </c>
      <c r="G364" s="1" t="str">
        <f>"H24.04.16"</f>
        <v>H24.04.16</v>
      </c>
      <c r="H364" s="1" t="str">
        <f t="shared" si="19"/>
        <v>開設中</v>
      </c>
      <c r="I364" s="1">
        <v>0</v>
      </c>
      <c r="J364" s="1">
        <v>0</v>
      </c>
      <c r="K364" s="1">
        <v>0</v>
      </c>
      <c r="L364" s="2">
        <v>1</v>
      </c>
      <c r="M364" s="2"/>
      <c r="N364" s="2"/>
      <c r="O364" s="2"/>
      <c r="P364" s="2"/>
      <c r="Q364" s="2"/>
      <c r="R364" s="2"/>
      <c r="S364" s="2"/>
      <c r="T364" s="2">
        <v>1</v>
      </c>
      <c r="U364" s="2"/>
      <c r="V364" s="2"/>
      <c r="W364" s="2">
        <v>1</v>
      </c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1"/>
    </row>
    <row r="365" spans="1:50" x14ac:dyDescent="0.4">
      <c r="A365" s="1" t="str">
        <f t="shared" si="18"/>
        <v>八代</v>
      </c>
      <c r="B365" s="1" t="str">
        <f>"和田内科医院"</f>
        <v>和田内科医院</v>
      </c>
      <c r="C365" s="1" t="str">
        <f>"869-4815"</f>
        <v>869-4815</v>
      </c>
      <c r="D365" s="1" t="s">
        <v>479</v>
      </c>
      <c r="E365" s="1" t="str">
        <f>"0965521860    "</f>
        <v xml:space="preserve">0965521860    </v>
      </c>
      <c r="F365" s="1" t="str">
        <f>"医療法人社団　秀和会"</f>
        <v>医療法人社団　秀和会</v>
      </c>
      <c r="G365" s="1" t="str">
        <f>"H25.01.01"</f>
        <v>H25.01.01</v>
      </c>
      <c r="H365" s="1" t="str">
        <f t="shared" si="19"/>
        <v>開設中</v>
      </c>
      <c r="I365" s="1">
        <v>0</v>
      </c>
      <c r="J365" s="1">
        <v>0</v>
      </c>
      <c r="K365" s="1">
        <v>0</v>
      </c>
      <c r="L365" s="2">
        <v>1</v>
      </c>
      <c r="M365" s="2"/>
      <c r="N365" s="2"/>
      <c r="O365" s="2"/>
      <c r="P365" s="2"/>
      <c r="Q365" s="2">
        <v>1</v>
      </c>
      <c r="R365" s="2"/>
      <c r="S365" s="2">
        <v>1</v>
      </c>
      <c r="T365" s="2">
        <v>1</v>
      </c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1"/>
    </row>
    <row r="366" spans="1:50" x14ac:dyDescent="0.4">
      <c r="A366" s="1" t="str">
        <f t="shared" si="18"/>
        <v>八代</v>
      </c>
      <c r="B366" s="1" t="str">
        <f>"放射線科・内科　まきたクリニック"</f>
        <v>放射線科・内科　まきたクリニック</v>
      </c>
      <c r="C366" s="1" t="str">
        <f>"866-0826"</f>
        <v>866-0826</v>
      </c>
      <c r="D366" s="1" t="s">
        <v>480</v>
      </c>
      <c r="E366" s="1" t="str">
        <f>"0965459120    "</f>
        <v xml:space="preserve">0965459120    </v>
      </c>
      <c r="F366" s="1" t="str">
        <f>"医療法人　まきた会"</f>
        <v>医療法人　まきた会</v>
      </c>
      <c r="G366" s="1" t="str">
        <f>"H25.03.01"</f>
        <v>H25.03.01</v>
      </c>
      <c r="H366" s="1" t="str">
        <f t="shared" si="19"/>
        <v>開設中</v>
      </c>
      <c r="I366" s="1">
        <v>0</v>
      </c>
      <c r="J366" s="1">
        <v>0</v>
      </c>
      <c r="K366" s="1">
        <v>0</v>
      </c>
      <c r="L366" s="2">
        <v>1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>
        <v>1</v>
      </c>
      <c r="AS366" s="2"/>
      <c r="AT366" s="2"/>
      <c r="AU366" s="2"/>
      <c r="AV366" s="2"/>
      <c r="AW366" s="2"/>
      <c r="AX366" s="1" t="s">
        <v>62</v>
      </c>
    </row>
    <row r="367" spans="1:50" x14ac:dyDescent="0.4">
      <c r="A367" s="1" t="str">
        <f t="shared" si="18"/>
        <v>八代</v>
      </c>
      <c r="B367" s="1" t="str">
        <f>"井上医院"</f>
        <v>井上医院</v>
      </c>
      <c r="C367" s="1" t="str">
        <f>"869-4301"</f>
        <v>869-4301</v>
      </c>
      <c r="D367" s="1" t="s">
        <v>481</v>
      </c>
      <c r="E367" s="1" t="str">
        <f>"0965652121    "</f>
        <v xml:space="preserve">0965652121    </v>
      </c>
      <c r="F367" s="1" t="str">
        <f>"井上　克彦"</f>
        <v>井上　克彦</v>
      </c>
      <c r="G367" s="1" t="str">
        <f>"H25.04.01"</f>
        <v>H25.04.01</v>
      </c>
      <c r="H367" s="1" t="str">
        <f t="shared" si="19"/>
        <v>開設中</v>
      </c>
      <c r="I367" s="1">
        <v>0</v>
      </c>
      <c r="J367" s="1">
        <v>0</v>
      </c>
      <c r="K367" s="1">
        <v>0</v>
      </c>
      <c r="L367" s="2">
        <v>1</v>
      </c>
      <c r="M367" s="2"/>
      <c r="N367" s="2"/>
      <c r="O367" s="2"/>
      <c r="P367" s="2"/>
      <c r="Q367" s="2"/>
      <c r="R367" s="2"/>
      <c r="S367" s="2"/>
      <c r="T367" s="2"/>
      <c r="U367" s="2"/>
      <c r="V367" s="2">
        <v>1</v>
      </c>
      <c r="W367" s="2"/>
      <c r="X367" s="2">
        <v>1</v>
      </c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>
        <v>1</v>
      </c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1"/>
    </row>
    <row r="368" spans="1:50" x14ac:dyDescent="0.4">
      <c r="A368" s="1" t="str">
        <f t="shared" si="18"/>
        <v>八代</v>
      </c>
      <c r="B368" s="1" t="str">
        <f>"地域密着型特別養護老人ホーム八代草医務室"</f>
        <v>地域密着型特別養護老人ホーム八代草医務室</v>
      </c>
      <c r="C368" s="1" t="str">
        <f>"866-0893"</f>
        <v>866-0893</v>
      </c>
      <c r="D368" s="1" t="s">
        <v>482</v>
      </c>
      <c r="E368" s="1" t="str">
        <f>"0965628550    "</f>
        <v xml:space="preserve">0965628550    </v>
      </c>
      <c r="F368" s="1" t="str">
        <f>"社会福祉法人　平成苑"</f>
        <v>社会福祉法人　平成苑</v>
      </c>
      <c r="G368" s="1" t="str">
        <f>"H25.09.23"</f>
        <v>H25.09.23</v>
      </c>
      <c r="H368" s="1" t="str">
        <f t="shared" si="19"/>
        <v>開設中</v>
      </c>
      <c r="I368" s="1">
        <v>0</v>
      </c>
      <c r="J368" s="1">
        <v>0</v>
      </c>
      <c r="K368" s="1">
        <v>0</v>
      </c>
      <c r="L368" s="2">
        <v>1</v>
      </c>
      <c r="M368" s="2"/>
      <c r="N368" s="2">
        <v>1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1"/>
    </row>
    <row r="369" spans="1:50" x14ac:dyDescent="0.4">
      <c r="A369" s="1" t="str">
        <f t="shared" si="18"/>
        <v>八代</v>
      </c>
      <c r="B369" s="1" t="str">
        <f>"地域密着型特別養護老人ホームキャッスル麦島内診療所"</f>
        <v>地域密着型特別養護老人ホームキャッスル麦島内診療所</v>
      </c>
      <c r="C369" s="1" t="str">
        <f>"866-0043"</f>
        <v>866-0043</v>
      </c>
      <c r="D369" s="1" t="s">
        <v>483</v>
      </c>
      <c r="E369" s="1" t="str">
        <f>"0965628868    "</f>
        <v xml:space="preserve">0965628868    </v>
      </c>
      <c r="F369" s="1" t="str">
        <f>"社会福祉法人八代愛育会"</f>
        <v>社会福祉法人八代愛育会</v>
      </c>
      <c r="G369" s="1" t="str">
        <f>"H25.10.01"</f>
        <v>H25.10.01</v>
      </c>
      <c r="H369" s="1" t="str">
        <f t="shared" si="19"/>
        <v>開設中</v>
      </c>
      <c r="I369" s="1">
        <v>0</v>
      </c>
      <c r="J369" s="1">
        <v>0</v>
      </c>
      <c r="K369" s="1">
        <v>0</v>
      </c>
      <c r="L369" s="2">
        <v>1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>
        <v>1</v>
      </c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1"/>
    </row>
    <row r="370" spans="1:50" x14ac:dyDescent="0.4">
      <c r="A370" s="1" t="str">
        <f t="shared" si="18"/>
        <v>八代</v>
      </c>
      <c r="B370" s="1" t="str">
        <f>"旭中央通りクリニック"</f>
        <v>旭中央通りクリニック</v>
      </c>
      <c r="C370" s="1" t="str">
        <f>"866-0843"</f>
        <v>866-0843</v>
      </c>
      <c r="D370" s="1" t="s">
        <v>484</v>
      </c>
      <c r="E370" s="1" t="str">
        <f>"0965341238    "</f>
        <v xml:space="preserve">0965341238    </v>
      </c>
      <c r="F370" s="1" t="str">
        <f>"片岡　裕文"</f>
        <v>片岡　裕文</v>
      </c>
      <c r="G370" s="1" t="str">
        <f>"H25.09.17"</f>
        <v>H25.09.17</v>
      </c>
      <c r="H370" s="1" t="str">
        <f t="shared" si="19"/>
        <v>開設中</v>
      </c>
      <c r="I370" s="1">
        <v>0</v>
      </c>
      <c r="J370" s="1">
        <v>0</v>
      </c>
      <c r="K370" s="1">
        <v>0</v>
      </c>
      <c r="L370" s="2">
        <v>1</v>
      </c>
      <c r="M370" s="2">
        <v>1</v>
      </c>
      <c r="N370" s="2">
        <v>1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1"/>
    </row>
    <row r="371" spans="1:50" x14ac:dyDescent="0.4">
      <c r="A371" s="1" t="str">
        <f t="shared" si="18"/>
        <v>八代</v>
      </c>
      <c r="B371" s="1" t="str">
        <f>"養護老人ホーム保寿寮医務室"</f>
        <v>養護老人ホーム保寿寮医務室</v>
      </c>
      <c r="C371" s="1" t="str">
        <f>"869-5138"</f>
        <v>869-5138</v>
      </c>
      <c r="D371" s="1" t="s">
        <v>485</v>
      </c>
      <c r="E371" s="1" t="str">
        <f>"0965380732    "</f>
        <v xml:space="preserve">0965380732    </v>
      </c>
      <c r="F371" s="1" t="str">
        <f>"社会福祉法人八代市社会福祉事業団"</f>
        <v>社会福祉法人八代市社会福祉事業団</v>
      </c>
      <c r="G371" s="1" t="str">
        <f>"H26.04.01"</f>
        <v>H26.04.01</v>
      </c>
      <c r="H371" s="1" t="str">
        <f t="shared" si="19"/>
        <v>開設中</v>
      </c>
      <c r="I371" s="1">
        <v>0</v>
      </c>
      <c r="J371" s="1">
        <v>0</v>
      </c>
      <c r="K371" s="1">
        <v>0</v>
      </c>
      <c r="L371" s="2">
        <v>1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1"/>
    </row>
    <row r="372" spans="1:50" x14ac:dyDescent="0.4">
      <c r="A372" s="1" t="str">
        <f t="shared" si="18"/>
        <v>八代</v>
      </c>
      <c r="B372" s="1" t="str">
        <f>"せきがみ内科・糖尿病内科"</f>
        <v>せきがみ内科・糖尿病内科</v>
      </c>
      <c r="C372" s="1" t="str">
        <f>"866-0824"</f>
        <v>866-0824</v>
      </c>
      <c r="D372" s="1" t="s">
        <v>486</v>
      </c>
      <c r="E372" s="1" t="str">
        <f>"0965330033    "</f>
        <v xml:space="preserve">0965330033    </v>
      </c>
      <c r="F372" s="1" t="str">
        <f>"医療法人社団　泰照会"</f>
        <v>医療法人社団　泰照会</v>
      </c>
      <c r="G372" s="1" t="str">
        <f>"H27.06.15"</f>
        <v>H27.06.15</v>
      </c>
      <c r="H372" s="1" t="str">
        <f t="shared" si="19"/>
        <v>開設中</v>
      </c>
      <c r="I372" s="1">
        <v>0</v>
      </c>
      <c r="J372" s="1">
        <v>0</v>
      </c>
      <c r="K372" s="1">
        <v>0</v>
      </c>
      <c r="L372" s="2">
        <v>1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1" t="s">
        <v>83</v>
      </c>
    </row>
    <row r="373" spans="1:50" x14ac:dyDescent="0.4">
      <c r="A373" s="1" t="str">
        <f t="shared" si="18"/>
        <v>八代</v>
      </c>
      <c r="B373" s="1" t="str">
        <f>"織田胃腸外科"</f>
        <v>織田胃腸外科</v>
      </c>
      <c r="C373" s="1" t="str">
        <f>"866-0875"</f>
        <v>866-0875</v>
      </c>
      <c r="D373" s="1" t="s">
        <v>487</v>
      </c>
      <c r="E373" s="1" t="str">
        <f>"0965332381    "</f>
        <v xml:space="preserve">0965332381    </v>
      </c>
      <c r="F373" s="1" t="str">
        <f>"医療法人社団織田胃腸外科"</f>
        <v>医療法人社団織田胃腸外科</v>
      </c>
      <c r="G373" s="1" t="str">
        <f>"H28.01.01"</f>
        <v>H28.01.01</v>
      </c>
      <c r="H373" s="1" t="str">
        <f t="shared" si="19"/>
        <v>開設中</v>
      </c>
      <c r="I373" s="1">
        <v>0</v>
      </c>
      <c r="J373" s="1">
        <v>0</v>
      </c>
      <c r="K373" s="1">
        <v>0</v>
      </c>
      <c r="L373" s="2">
        <v>1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>
        <v>1</v>
      </c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1" t="s">
        <v>84</v>
      </c>
    </row>
    <row r="374" spans="1:50" x14ac:dyDescent="0.4">
      <c r="A374" s="1" t="str">
        <f t="shared" si="18"/>
        <v>八代</v>
      </c>
      <c r="B374" s="1" t="str">
        <f>"養護老人ホーム　すずらんの杜　医務室"</f>
        <v>養護老人ホーム　すずらんの杜　医務室</v>
      </c>
      <c r="C374" s="1" t="str">
        <f>"869-5161"</f>
        <v>869-5161</v>
      </c>
      <c r="D374" s="1" t="s">
        <v>488</v>
      </c>
      <c r="E374" s="1" t="str">
        <f>"0965397611    "</f>
        <v xml:space="preserve">0965397611    </v>
      </c>
      <c r="F374" s="1" t="str">
        <f>"社会福祉法人　天龍会"</f>
        <v>社会福祉法人　天龍会</v>
      </c>
      <c r="G374" s="1" t="str">
        <f>"H28.04.01"</f>
        <v>H28.04.01</v>
      </c>
      <c r="H374" s="1" t="str">
        <f t="shared" si="19"/>
        <v>開設中</v>
      </c>
      <c r="I374" s="1">
        <v>0</v>
      </c>
      <c r="J374" s="1">
        <v>0</v>
      </c>
      <c r="K374" s="1">
        <v>0</v>
      </c>
      <c r="L374" s="2">
        <v>1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1"/>
    </row>
    <row r="375" spans="1:50" x14ac:dyDescent="0.4">
      <c r="A375" s="1" t="str">
        <f t="shared" si="18"/>
        <v>八代</v>
      </c>
      <c r="B375" s="1" t="str">
        <f>"八代ハートクリニック"</f>
        <v>八代ハートクリニック</v>
      </c>
      <c r="C375" s="1" t="str">
        <f>"866-0834"</f>
        <v>866-0834</v>
      </c>
      <c r="D375" s="1" t="s">
        <v>489</v>
      </c>
      <c r="E375" s="1" t="str">
        <f>"0965452323    "</f>
        <v xml:space="preserve">0965452323    </v>
      </c>
      <c r="F375" s="1" t="str">
        <f>"医療法人　明朋会"</f>
        <v>医療法人　明朋会</v>
      </c>
      <c r="G375" s="1" t="str">
        <f>"H29.02.01"</f>
        <v>H29.02.01</v>
      </c>
      <c r="H375" s="1" t="str">
        <f t="shared" si="19"/>
        <v>開設中</v>
      </c>
      <c r="I375" s="1">
        <v>0</v>
      </c>
      <c r="J375" s="1">
        <v>0</v>
      </c>
      <c r="K375" s="1">
        <v>0</v>
      </c>
      <c r="L375" s="2">
        <v>1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>
        <v>1</v>
      </c>
      <c r="AR375" s="2">
        <v>1</v>
      </c>
      <c r="AS375" s="2"/>
      <c r="AT375" s="2"/>
      <c r="AU375" s="2"/>
      <c r="AV375" s="2"/>
      <c r="AW375" s="2"/>
      <c r="AX375" s="1" t="s">
        <v>85</v>
      </c>
    </row>
    <row r="376" spans="1:50" x14ac:dyDescent="0.4">
      <c r="A376" s="1" t="str">
        <f t="shared" ref="A376:A398" si="20">"八代"</f>
        <v>八代</v>
      </c>
      <c r="B376" s="1" t="str">
        <f>"ひらきクリニック"</f>
        <v>ひらきクリニック</v>
      </c>
      <c r="C376" s="1" t="str">
        <f>"866-0016"</f>
        <v>866-0016</v>
      </c>
      <c r="D376" s="1" t="s">
        <v>490</v>
      </c>
      <c r="E376" s="1" t="str">
        <f>"0965324990    "</f>
        <v xml:space="preserve">0965324990    </v>
      </c>
      <c r="F376" s="1" t="str">
        <f>"医療法人社団　誠和会"</f>
        <v>医療法人社団　誠和会</v>
      </c>
      <c r="G376" s="1" t="str">
        <f>"H28.05.01"</f>
        <v>H28.05.01</v>
      </c>
      <c r="H376" s="1" t="str">
        <f t="shared" si="19"/>
        <v>開設中</v>
      </c>
      <c r="I376" s="1">
        <v>19</v>
      </c>
      <c r="J376" s="1">
        <v>19</v>
      </c>
      <c r="K376" s="1">
        <v>0</v>
      </c>
      <c r="L376" s="2">
        <v>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>
        <v>1</v>
      </c>
      <c r="Y376" s="2"/>
      <c r="Z376" s="2"/>
      <c r="AA376" s="2"/>
      <c r="AB376" s="2">
        <v>1</v>
      </c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>
        <v>1</v>
      </c>
      <c r="AR376" s="2"/>
      <c r="AS376" s="2"/>
      <c r="AT376" s="2"/>
      <c r="AU376" s="2"/>
      <c r="AV376" s="2"/>
      <c r="AW376" s="2">
        <v>1</v>
      </c>
      <c r="AX376" s="1" t="s">
        <v>86</v>
      </c>
    </row>
    <row r="377" spans="1:50" x14ac:dyDescent="0.4">
      <c r="A377" s="1" t="str">
        <f t="shared" si="20"/>
        <v>八代</v>
      </c>
      <c r="B377" s="1" t="str">
        <f>"うえの内科・胃腸内科"</f>
        <v>うえの内科・胃腸内科</v>
      </c>
      <c r="C377" s="1" t="str">
        <f>"866-0861"</f>
        <v>866-0861</v>
      </c>
      <c r="D377" s="1" t="s">
        <v>491</v>
      </c>
      <c r="E377" s="1" t="str">
        <f>"0965331131    "</f>
        <v xml:space="preserve">0965331131    </v>
      </c>
      <c r="F377" s="1" t="str">
        <f>"医療法人　上直会"</f>
        <v>医療法人　上直会</v>
      </c>
      <c r="G377" s="1" t="str">
        <f>"H28.12.12"</f>
        <v>H28.12.12</v>
      </c>
      <c r="H377" s="1" t="str">
        <f t="shared" si="19"/>
        <v>開設中</v>
      </c>
      <c r="I377" s="1">
        <v>0</v>
      </c>
      <c r="J377" s="1">
        <v>0</v>
      </c>
      <c r="K377" s="1">
        <v>0</v>
      </c>
      <c r="L377" s="2">
        <v>1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1" t="s">
        <v>46</v>
      </c>
    </row>
    <row r="378" spans="1:50" x14ac:dyDescent="0.4">
      <c r="A378" s="1" t="str">
        <f t="shared" si="20"/>
        <v>八代</v>
      </c>
      <c r="B378" s="1" t="str">
        <f>"本田クリニック"</f>
        <v>本田クリニック</v>
      </c>
      <c r="C378" s="1" t="str">
        <f>"866-0863"</f>
        <v>866-0863</v>
      </c>
      <c r="D378" s="1" t="s">
        <v>492</v>
      </c>
      <c r="E378" s="1" t="str">
        <f>"0965323410    "</f>
        <v xml:space="preserve">0965323410    </v>
      </c>
      <c r="F378" s="1" t="str">
        <f>"医療法人正和会"</f>
        <v>医療法人正和会</v>
      </c>
      <c r="G378" s="1" t="str">
        <f>"H29.01.01"</f>
        <v>H29.01.01</v>
      </c>
      <c r="H378" s="1" t="str">
        <f t="shared" si="19"/>
        <v>開設中</v>
      </c>
      <c r="I378" s="1">
        <v>0</v>
      </c>
      <c r="J378" s="1">
        <v>0</v>
      </c>
      <c r="K378" s="1">
        <v>0</v>
      </c>
      <c r="L378" s="2">
        <v>1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1"/>
    </row>
    <row r="379" spans="1:50" x14ac:dyDescent="0.4">
      <c r="A379" s="1" t="str">
        <f t="shared" si="20"/>
        <v>八代</v>
      </c>
      <c r="B379" s="1" t="str">
        <f>"わたなべ内科クリニック"</f>
        <v>わたなべ内科クリニック</v>
      </c>
      <c r="C379" s="1" t="str">
        <f>"866-0885"</f>
        <v>866-0885</v>
      </c>
      <c r="D379" s="1" t="s">
        <v>493</v>
      </c>
      <c r="E379" s="1" t="str">
        <f>"0965378255    "</f>
        <v xml:space="preserve">0965378255    </v>
      </c>
      <c r="F379" s="1" t="str">
        <f>"渡辺　栄一郎"</f>
        <v>渡辺　栄一郎</v>
      </c>
      <c r="G379" s="1" t="str">
        <f>"H29.04.11"</f>
        <v>H29.04.11</v>
      </c>
      <c r="H379" s="1" t="str">
        <f t="shared" si="19"/>
        <v>開設中</v>
      </c>
      <c r="I379" s="1">
        <v>0</v>
      </c>
      <c r="J379" s="1">
        <v>0</v>
      </c>
      <c r="K379" s="1">
        <v>0</v>
      </c>
      <c r="L379" s="2">
        <v>1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1" t="s">
        <v>87</v>
      </c>
    </row>
    <row r="380" spans="1:50" x14ac:dyDescent="0.4">
      <c r="A380" s="1" t="str">
        <f t="shared" si="20"/>
        <v>八代</v>
      </c>
      <c r="B380" s="1" t="str">
        <f>"医療法人徳新会　鏡クリニック"</f>
        <v>医療法人徳新会　鏡クリニック</v>
      </c>
      <c r="C380" s="1" t="str">
        <f>"869-4212"</f>
        <v>869-4212</v>
      </c>
      <c r="D380" s="1" t="s">
        <v>494</v>
      </c>
      <c r="E380" s="1" t="str">
        <f>"0965525555    "</f>
        <v xml:space="preserve">0965525555    </v>
      </c>
      <c r="F380" s="1" t="str">
        <f>"医療法人徳新会"</f>
        <v>医療法人徳新会</v>
      </c>
      <c r="G380" s="1" t="str">
        <f>"H29.06.01"</f>
        <v>H29.06.01</v>
      </c>
      <c r="H380" s="1" t="str">
        <f t="shared" si="19"/>
        <v>開設中</v>
      </c>
      <c r="I380" s="1">
        <v>0</v>
      </c>
      <c r="J380" s="1">
        <v>0</v>
      </c>
      <c r="K380" s="1">
        <v>0</v>
      </c>
      <c r="L380" s="2">
        <v>1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1"/>
    </row>
    <row r="381" spans="1:50" x14ac:dyDescent="0.4">
      <c r="A381" s="1" t="str">
        <f t="shared" si="20"/>
        <v>八代</v>
      </c>
      <c r="B381" s="1" t="str">
        <f>"特別養護老人ホーム早尾園"</f>
        <v>特別養護老人ホーム早尾園</v>
      </c>
      <c r="C381" s="1" t="str">
        <f>"869-4606"</f>
        <v>869-4606</v>
      </c>
      <c r="D381" s="1" t="s">
        <v>495</v>
      </c>
      <c r="E381" s="1" t="str">
        <f>"0965623838    "</f>
        <v xml:space="preserve">0965623838    </v>
      </c>
      <c r="F381" s="1" t="str">
        <f>"社会福祉法人代医会"</f>
        <v>社会福祉法人代医会</v>
      </c>
      <c r="G381" s="1" t="str">
        <f>"H30.11.25"</f>
        <v>H30.11.25</v>
      </c>
      <c r="H381" s="1" t="str">
        <f t="shared" si="19"/>
        <v>開設中</v>
      </c>
      <c r="I381" s="1">
        <v>0</v>
      </c>
      <c r="J381" s="1">
        <v>0</v>
      </c>
      <c r="K381" s="1">
        <v>0</v>
      </c>
      <c r="L381" s="2">
        <v>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1"/>
    </row>
    <row r="382" spans="1:50" x14ac:dyDescent="0.4">
      <c r="A382" s="1" t="str">
        <f t="shared" si="20"/>
        <v>八代</v>
      </c>
      <c r="B382" s="1" t="str">
        <f>"いでアレルギー・ぜんそくクリニック"</f>
        <v>いでアレルギー・ぜんそくクリニック</v>
      </c>
      <c r="C382" s="1" t="str">
        <f>"866-0883"</f>
        <v>866-0883</v>
      </c>
      <c r="D382" s="1" t="s">
        <v>496</v>
      </c>
      <c r="E382" s="1" t="str">
        <f>"0965378211    "</f>
        <v xml:space="preserve">0965378211    </v>
      </c>
      <c r="F382" s="1" t="str">
        <f>"出口　秀治"</f>
        <v>出口　秀治</v>
      </c>
      <c r="G382" s="1" t="str">
        <f>"H30.04.16"</f>
        <v>H30.04.16</v>
      </c>
      <c r="H382" s="1" t="str">
        <f t="shared" si="19"/>
        <v>開設中</v>
      </c>
      <c r="I382" s="1">
        <v>0</v>
      </c>
      <c r="J382" s="1">
        <v>0</v>
      </c>
      <c r="K382" s="1">
        <v>0</v>
      </c>
      <c r="L382" s="2"/>
      <c r="M382" s="2"/>
      <c r="N382" s="2"/>
      <c r="O382" s="2"/>
      <c r="P382" s="2"/>
      <c r="Q382" s="2"/>
      <c r="R382" s="2"/>
      <c r="S382" s="2"/>
      <c r="T382" s="2"/>
      <c r="U382" s="2">
        <v>1</v>
      </c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1" t="s">
        <v>88</v>
      </c>
    </row>
    <row r="383" spans="1:50" x14ac:dyDescent="0.4">
      <c r="A383" s="1" t="str">
        <f t="shared" si="20"/>
        <v>八代</v>
      </c>
      <c r="B383" s="1" t="str">
        <f>"こだま小児科クリニック"</f>
        <v>こだま小児科クリニック</v>
      </c>
      <c r="C383" s="1" t="str">
        <f>"866-0815"</f>
        <v>866-0815</v>
      </c>
      <c r="D383" s="1" t="s">
        <v>497</v>
      </c>
      <c r="E383" s="1" t="str">
        <f>"0965353715    "</f>
        <v xml:space="preserve">0965353715    </v>
      </c>
      <c r="F383" s="1" t="str">
        <f>"兒玉　志保"</f>
        <v>兒玉　志保</v>
      </c>
      <c r="G383" s="1" t="str">
        <f>"H30.04.16"</f>
        <v>H30.04.16</v>
      </c>
      <c r="H383" s="1" t="str">
        <f t="shared" si="19"/>
        <v>開設中</v>
      </c>
      <c r="I383" s="1">
        <v>0</v>
      </c>
      <c r="J383" s="1">
        <v>0</v>
      </c>
      <c r="K383" s="1">
        <v>0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>
        <v>1</v>
      </c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1"/>
    </row>
    <row r="384" spans="1:50" x14ac:dyDescent="0.4">
      <c r="A384" s="1" t="str">
        <f t="shared" si="20"/>
        <v>八代</v>
      </c>
      <c r="B384" s="1" t="str">
        <f>"あらき整形外科医院"</f>
        <v>あらき整形外科医院</v>
      </c>
      <c r="C384" s="1" t="str">
        <f>"866-0831"</f>
        <v>866-0831</v>
      </c>
      <c r="D384" s="1" t="s">
        <v>498</v>
      </c>
      <c r="E384" s="1" t="str">
        <f>"0965322524    "</f>
        <v xml:space="preserve">0965322524    </v>
      </c>
      <c r="F384" s="1" t="str">
        <f>"医療法人社団メディウス会"</f>
        <v>医療法人社団メディウス会</v>
      </c>
      <c r="G384" s="1" t="str">
        <f>"H30.10.29"</f>
        <v>H30.10.29</v>
      </c>
      <c r="H384" s="1" t="str">
        <f t="shared" si="19"/>
        <v>開設中</v>
      </c>
      <c r="I384" s="1">
        <v>18</v>
      </c>
      <c r="J384" s="1">
        <v>18</v>
      </c>
      <c r="K384" s="1">
        <v>0</v>
      </c>
      <c r="L384" s="2">
        <v>1</v>
      </c>
      <c r="M384" s="2"/>
      <c r="N384" s="2"/>
      <c r="O384" s="2"/>
      <c r="P384" s="2"/>
      <c r="Q384" s="2"/>
      <c r="R384" s="2"/>
      <c r="S384" s="2"/>
      <c r="T384" s="2"/>
      <c r="U384" s="2"/>
      <c r="V384" s="2">
        <v>1</v>
      </c>
      <c r="W384" s="2"/>
      <c r="X384" s="2"/>
      <c r="Y384" s="2">
        <v>1</v>
      </c>
      <c r="Z384" s="2"/>
      <c r="AA384" s="2"/>
      <c r="AB384" s="2"/>
      <c r="AC384" s="2"/>
      <c r="AD384" s="2"/>
      <c r="AE384" s="2"/>
      <c r="AF384" s="2"/>
      <c r="AG384" s="2"/>
      <c r="AH384" s="2"/>
      <c r="AI384" s="2">
        <v>1</v>
      </c>
      <c r="AJ384" s="2"/>
      <c r="AK384" s="2"/>
      <c r="AL384" s="2"/>
      <c r="AM384" s="2"/>
      <c r="AN384" s="2"/>
      <c r="AO384" s="2"/>
      <c r="AP384" s="2"/>
      <c r="AQ384" s="2">
        <v>1</v>
      </c>
      <c r="AR384" s="2"/>
      <c r="AS384" s="2"/>
      <c r="AT384" s="2"/>
      <c r="AU384" s="2"/>
      <c r="AV384" s="2"/>
      <c r="AW384" s="2"/>
      <c r="AX384" s="1"/>
    </row>
    <row r="385" spans="1:50" x14ac:dyDescent="0.4">
      <c r="A385" s="1" t="str">
        <f t="shared" si="20"/>
        <v>八代</v>
      </c>
      <c r="B385" s="1" t="str">
        <f>"独立行政法人地域医療機能推進機構　熊本総合病院附属クリニック"</f>
        <v>独立行政法人地域医療機能推進機構　熊本総合病院附属クリニック</v>
      </c>
      <c r="C385" s="1" t="str">
        <f>"866-0802"</f>
        <v>866-0802</v>
      </c>
      <c r="D385" s="1" t="s">
        <v>499</v>
      </c>
      <c r="E385" s="1" t="str">
        <f>"0965327111    "</f>
        <v xml:space="preserve">0965327111    </v>
      </c>
      <c r="F385" s="1" t="str">
        <f>"独立行政法人地域医療機能推進機構"</f>
        <v>独立行政法人地域医療機能推進機構</v>
      </c>
      <c r="G385" s="1" t="str">
        <f>"H31.04.01"</f>
        <v>H31.04.01</v>
      </c>
      <c r="H385" s="1" t="str">
        <f t="shared" si="19"/>
        <v>開設中</v>
      </c>
      <c r="I385" s="1">
        <v>0</v>
      </c>
      <c r="J385" s="1">
        <v>0</v>
      </c>
      <c r="K385" s="1">
        <v>0</v>
      </c>
      <c r="L385" s="2">
        <v>1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>
        <v>1</v>
      </c>
      <c r="Y385" s="2">
        <v>1</v>
      </c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1" t="s">
        <v>89</v>
      </c>
    </row>
    <row r="386" spans="1:50" x14ac:dyDescent="0.4">
      <c r="A386" s="1" t="str">
        <f t="shared" si="20"/>
        <v>八代</v>
      </c>
      <c r="B386" s="1" t="str">
        <f>"もちながこどもクリニック"</f>
        <v>もちながこどもクリニック</v>
      </c>
      <c r="C386" s="1" t="str">
        <f>"866-0876"</f>
        <v>866-0876</v>
      </c>
      <c r="D386" s="1" t="s">
        <v>500</v>
      </c>
      <c r="E386" s="1" t="str">
        <f>"0965393925    "</f>
        <v xml:space="preserve">0965393925    </v>
      </c>
      <c r="F386" s="1" t="str">
        <f>"医療法人　まさほ会"</f>
        <v>医療法人　まさほ会</v>
      </c>
      <c r="G386" s="1" t="str">
        <f>"R01.10.01"</f>
        <v>R01.10.01</v>
      </c>
      <c r="H386" s="1" t="str">
        <f t="shared" si="19"/>
        <v>開設中</v>
      </c>
      <c r="I386" s="1">
        <v>0</v>
      </c>
      <c r="J386" s="1">
        <v>0</v>
      </c>
      <c r="K386" s="1">
        <v>0</v>
      </c>
      <c r="L386" s="2"/>
      <c r="M386" s="2"/>
      <c r="N386" s="2"/>
      <c r="O386" s="2"/>
      <c r="P386" s="2"/>
      <c r="Q386" s="2"/>
      <c r="R386" s="2"/>
      <c r="S386" s="2"/>
      <c r="T386" s="2"/>
      <c r="U386" s="2">
        <v>1</v>
      </c>
      <c r="V386" s="2"/>
      <c r="W386" s="2">
        <v>1</v>
      </c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1"/>
    </row>
    <row r="387" spans="1:50" x14ac:dyDescent="0.4">
      <c r="A387" s="1" t="str">
        <f t="shared" si="20"/>
        <v>八代</v>
      </c>
      <c r="B387" s="1" t="str">
        <f>"ごとう脳神経外科・痛みのクリニック"</f>
        <v>ごとう脳神経外科・痛みのクリニック</v>
      </c>
      <c r="C387" s="1" t="str">
        <f>"866-0862"</f>
        <v>866-0862</v>
      </c>
      <c r="D387" s="1" t="s">
        <v>501</v>
      </c>
      <c r="E387" s="1" t="str">
        <f>"0965455255    "</f>
        <v xml:space="preserve">0965455255    </v>
      </c>
      <c r="F387" s="1" t="str">
        <f>"後藤　真一"</f>
        <v>後藤　真一</v>
      </c>
      <c r="G387" s="1" t="str">
        <f>"R01.10.17"</f>
        <v>R01.10.17</v>
      </c>
      <c r="H387" s="1" t="str">
        <f t="shared" si="19"/>
        <v>開設中</v>
      </c>
      <c r="I387" s="1">
        <v>0</v>
      </c>
      <c r="J387" s="1">
        <v>0</v>
      </c>
      <c r="K387" s="1">
        <v>0</v>
      </c>
      <c r="L387" s="2">
        <v>1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>
        <v>1</v>
      </c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>
        <v>1</v>
      </c>
      <c r="AX387" s="1"/>
    </row>
    <row r="388" spans="1:50" x14ac:dyDescent="0.4">
      <c r="A388" s="1" t="str">
        <f t="shared" si="20"/>
        <v>八代</v>
      </c>
      <c r="B388" s="1" t="str">
        <f>"くはら循環器内科・くはら皮フ科"</f>
        <v>くはら循環器内科・くはら皮フ科</v>
      </c>
      <c r="C388" s="1" t="str">
        <f>"866-0898"</f>
        <v>866-0898</v>
      </c>
      <c r="D388" s="1" t="s">
        <v>502</v>
      </c>
      <c r="E388" s="1" t="str">
        <f>"0965628877    "</f>
        <v xml:space="preserve">0965628877    </v>
      </c>
      <c r="F388" s="1" t="str">
        <f>"医療法人　康友会"</f>
        <v>医療法人　康友会</v>
      </c>
      <c r="G388" s="1" t="str">
        <f>"R02.04.01"</f>
        <v>R02.04.01</v>
      </c>
      <c r="H388" s="1" t="str">
        <f t="shared" si="19"/>
        <v>開設中</v>
      </c>
      <c r="I388" s="1">
        <v>0</v>
      </c>
      <c r="J388" s="1">
        <v>0</v>
      </c>
      <c r="K388" s="1">
        <v>0</v>
      </c>
      <c r="L388" s="2">
        <v>1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>
        <v>1</v>
      </c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1" t="s">
        <v>90</v>
      </c>
    </row>
    <row r="389" spans="1:50" x14ac:dyDescent="0.4">
      <c r="A389" s="1" t="str">
        <f t="shared" si="20"/>
        <v>八代</v>
      </c>
      <c r="B389" s="1" t="str">
        <f>"黒田耳鼻咽喉科医院"</f>
        <v>黒田耳鼻咽喉科医院</v>
      </c>
      <c r="C389" s="1" t="str">
        <f>"869-4215"</f>
        <v>869-4215</v>
      </c>
      <c r="D389" s="1" t="s">
        <v>503</v>
      </c>
      <c r="E389" s="1" t="str">
        <f>"0965528787    "</f>
        <v xml:space="preserve">0965528787    </v>
      </c>
      <c r="F389" s="1" t="str">
        <f>"医療法人社団　黒田耳鼻咽喉科医院"</f>
        <v>医療法人社団　黒田耳鼻咽喉科医院</v>
      </c>
      <c r="G389" s="1" t="str">
        <f>"R02.09.01"</f>
        <v>R02.09.01</v>
      </c>
      <c r="H389" s="1" t="str">
        <f t="shared" si="19"/>
        <v>開設中</v>
      </c>
      <c r="I389" s="1">
        <v>0</v>
      </c>
      <c r="J389" s="1">
        <v>0</v>
      </c>
      <c r="K389" s="1">
        <v>0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>
        <v>1</v>
      </c>
      <c r="AP389" s="2"/>
      <c r="AQ389" s="2"/>
      <c r="AR389" s="2"/>
      <c r="AS389" s="2"/>
      <c r="AT389" s="2"/>
      <c r="AU389" s="2"/>
      <c r="AV389" s="2"/>
      <c r="AW389" s="2"/>
      <c r="AX389" s="1"/>
    </row>
    <row r="390" spans="1:50" x14ac:dyDescent="0.4">
      <c r="A390" s="1" t="str">
        <f t="shared" si="20"/>
        <v>八代</v>
      </c>
      <c r="B390" s="1" t="str">
        <f>"大塚内科クリニック"</f>
        <v>大塚内科クリニック</v>
      </c>
      <c r="C390" s="1" t="str">
        <f>"869-5136"</f>
        <v>869-5136</v>
      </c>
      <c r="D390" s="1" t="s">
        <v>504</v>
      </c>
      <c r="E390" s="1" t="str">
        <f>"09052866237   "</f>
        <v xml:space="preserve">09052866237   </v>
      </c>
      <c r="F390" s="1" t="str">
        <f>"医療法人　杏叢会"</f>
        <v>医療法人　杏叢会</v>
      </c>
      <c r="G390" s="1" t="str">
        <f>"R02.06.16"</f>
        <v>R02.06.16</v>
      </c>
      <c r="H390" s="1" t="str">
        <f t="shared" si="19"/>
        <v>開設中</v>
      </c>
      <c r="I390" s="1">
        <v>0</v>
      </c>
      <c r="J390" s="1">
        <v>0</v>
      </c>
      <c r="K390" s="1">
        <v>0</v>
      </c>
      <c r="L390" s="2">
        <v>1</v>
      </c>
      <c r="M390" s="2"/>
      <c r="N390" s="2"/>
      <c r="O390" s="2"/>
      <c r="P390" s="2"/>
      <c r="Q390" s="2">
        <v>1</v>
      </c>
      <c r="R390" s="2"/>
      <c r="S390" s="2">
        <v>1</v>
      </c>
      <c r="T390" s="2">
        <v>1</v>
      </c>
      <c r="U390" s="2">
        <v>1</v>
      </c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1" t="s">
        <v>91</v>
      </c>
    </row>
    <row r="391" spans="1:50" x14ac:dyDescent="0.4">
      <c r="A391" s="1" t="str">
        <f t="shared" si="20"/>
        <v>八代</v>
      </c>
      <c r="B391" s="1" t="str">
        <f>"地域密着型特別養護老人ホームあさひ園みやじ医務室"</f>
        <v>地域密着型特別養護老人ホームあさひ園みやじ医務室</v>
      </c>
      <c r="C391" s="1" t="str">
        <f>"866-0805"</f>
        <v>866-0805</v>
      </c>
      <c r="D391" s="1" t="s">
        <v>505</v>
      </c>
      <c r="E391" s="1" t="str">
        <f>"0965455595    "</f>
        <v xml:space="preserve">0965455595    </v>
      </c>
      <c r="F391" s="1" t="str">
        <f>"社会福祉法人　郷寿会"</f>
        <v>社会福祉法人　郷寿会</v>
      </c>
      <c r="G391" s="1" t="str">
        <f>"R03.02.01"</f>
        <v>R03.02.01</v>
      </c>
      <c r="H391" s="1" t="str">
        <f t="shared" si="19"/>
        <v>開設中</v>
      </c>
      <c r="I391" s="1">
        <v>0</v>
      </c>
      <c r="J391" s="1">
        <v>0</v>
      </c>
      <c r="K391" s="1">
        <v>0</v>
      </c>
      <c r="L391" s="2">
        <v>1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1"/>
    </row>
    <row r="392" spans="1:50" x14ac:dyDescent="0.4">
      <c r="A392" s="1" t="str">
        <f t="shared" si="20"/>
        <v>八代</v>
      </c>
      <c r="B392" s="1" t="str">
        <f>"高橋医院"</f>
        <v>高橋医院</v>
      </c>
      <c r="C392" s="1" t="str">
        <f>"866-0846"</f>
        <v>866-0846</v>
      </c>
      <c r="D392" s="1" t="s">
        <v>506</v>
      </c>
      <c r="E392" s="1" t="str">
        <f>"0965311555    "</f>
        <v xml:space="preserve">0965311555    </v>
      </c>
      <c r="F392" s="1" t="str">
        <f>"医療法人明朋会"</f>
        <v>医療法人明朋会</v>
      </c>
      <c r="G392" s="1" t="str">
        <f>"R03.11.01"</f>
        <v>R03.11.01</v>
      </c>
      <c r="H392" s="1" t="str">
        <f t="shared" si="19"/>
        <v>開設中</v>
      </c>
      <c r="I392" s="1">
        <v>0</v>
      </c>
      <c r="J392" s="1">
        <v>0</v>
      </c>
      <c r="K392" s="1">
        <v>0</v>
      </c>
      <c r="L392" s="2">
        <v>1</v>
      </c>
      <c r="M392" s="2"/>
      <c r="N392" s="2"/>
      <c r="O392" s="2">
        <v>1</v>
      </c>
      <c r="P392" s="2"/>
      <c r="Q392" s="2">
        <v>1</v>
      </c>
      <c r="R392" s="2"/>
      <c r="S392" s="2">
        <v>1</v>
      </c>
      <c r="T392" s="2">
        <v>1</v>
      </c>
      <c r="U392" s="2"/>
      <c r="V392" s="2"/>
      <c r="W392" s="2">
        <v>1</v>
      </c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1"/>
    </row>
    <row r="393" spans="1:50" x14ac:dyDescent="0.4">
      <c r="A393" s="1" t="str">
        <f t="shared" si="20"/>
        <v>八代</v>
      </c>
      <c r="B393" s="1" t="str">
        <f>"峯苫医院"</f>
        <v>峯苫医院</v>
      </c>
      <c r="C393" s="1" t="str">
        <f>"866-0061"</f>
        <v>866-0061</v>
      </c>
      <c r="D393" s="1" t="s">
        <v>507</v>
      </c>
      <c r="E393" s="1" t="str">
        <f>"0965628721    "</f>
        <v xml:space="preserve">0965628721    </v>
      </c>
      <c r="F393" s="1" t="str">
        <f>"医療法人社団　明佑会"</f>
        <v>医療法人社団　明佑会</v>
      </c>
      <c r="G393" s="1" t="str">
        <f>"R04.12.20"</f>
        <v>R04.12.20</v>
      </c>
      <c r="H393" s="1" t="str">
        <f t="shared" si="19"/>
        <v>開設中</v>
      </c>
      <c r="I393" s="1">
        <v>17</v>
      </c>
      <c r="J393" s="1">
        <v>2</v>
      </c>
      <c r="K393" s="1">
        <v>15</v>
      </c>
      <c r="L393" s="2">
        <v>1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>
        <v>1</v>
      </c>
      <c r="Y393" s="2">
        <v>1</v>
      </c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>
        <v>1</v>
      </c>
      <c r="AR393" s="2"/>
      <c r="AS393" s="2"/>
      <c r="AT393" s="2"/>
      <c r="AU393" s="2"/>
      <c r="AV393" s="2"/>
      <c r="AW393" s="2"/>
      <c r="AX393" s="1" t="s">
        <v>92</v>
      </c>
    </row>
    <row r="394" spans="1:50" x14ac:dyDescent="0.4">
      <c r="A394" s="1" t="str">
        <f t="shared" si="20"/>
        <v>八代</v>
      </c>
      <c r="B394" s="1" t="str">
        <f>"大平眼科医院"</f>
        <v>大平眼科医院</v>
      </c>
      <c r="C394" s="1" t="str">
        <f>"866-0856"</f>
        <v>866-0856</v>
      </c>
      <c r="D394" s="1" t="s">
        <v>508</v>
      </c>
      <c r="E394" s="1" t="str">
        <f>"0965322239    "</f>
        <v xml:space="preserve">0965322239    </v>
      </c>
      <c r="F394" s="1" t="str">
        <f>"佐藤　さおり"</f>
        <v>佐藤　さおり</v>
      </c>
      <c r="G394" s="1" t="str">
        <f>"R05.04.01"</f>
        <v>R05.04.01</v>
      </c>
      <c r="H394" s="1" t="str">
        <f t="shared" si="19"/>
        <v>開設中</v>
      </c>
      <c r="I394" s="1">
        <v>0</v>
      </c>
      <c r="J394" s="1">
        <v>0</v>
      </c>
      <c r="K394" s="1">
        <v>0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>
        <v>1</v>
      </c>
      <c r="AO394" s="2"/>
      <c r="AP394" s="2"/>
      <c r="AQ394" s="2"/>
      <c r="AR394" s="2"/>
      <c r="AS394" s="2"/>
      <c r="AT394" s="2"/>
      <c r="AU394" s="2"/>
      <c r="AV394" s="2"/>
      <c r="AW394" s="2"/>
      <c r="AX394" s="1"/>
    </row>
    <row r="395" spans="1:50" x14ac:dyDescent="0.4">
      <c r="A395" s="1" t="str">
        <f t="shared" si="20"/>
        <v>八代</v>
      </c>
      <c r="B395" s="1" t="str">
        <f>"保元内科クリニック"</f>
        <v>保元内科クリニック</v>
      </c>
      <c r="C395" s="1" t="str">
        <f>"866-0885"</f>
        <v>866-0885</v>
      </c>
      <c r="D395" s="1" t="s">
        <v>509</v>
      </c>
      <c r="E395" s="1" t="str">
        <f>"0965343141    "</f>
        <v xml:space="preserve">0965343141    </v>
      </c>
      <c r="F395" s="1" t="str">
        <f>"医療法人師天会"</f>
        <v>医療法人師天会</v>
      </c>
      <c r="G395" s="1" t="str">
        <f>"R05.07.01"</f>
        <v>R05.07.01</v>
      </c>
      <c r="H395" s="1" t="str">
        <f t="shared" si="19"/>
        <v>開設中</v>
      </c>
      <c r="I395" s="1">
        <v>0</v>
      </c>
      <c r="J395" s="1">
        <v>0</v>
      </c>
      <c r="K395" s="1">
        <v>0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1" t="s">
        <v>93</v>
      </c>
    </row>
    <row r="396" spans="1:50" x14ac:dyDescent="0.4">
      <c r="A396" s="1" t="str">
        <f t="shared" si="20"/>
        <v>八代</v>
      </c>
      <c r="B396" s="1" t="str">
        <f>"前田医院"</f>
        <v>前田医院</v>
      </c>
      <c r="C396" s="1" t="str">
        <f>"866-0815"</f>
        <v>866-0815</v>
      </c>
      <c r="D396" s="1" t="s">
        <v>510</v>
      </c>
      <c r="E396" s="1" t="str">
        <f>"0965323845    "</f>
        <v xml:space="preserve">0965323845    </v>
      </c>
      <c r="F396" s="1" t="str">
        <f>"前田　晃平"</f>
        <v>前田　晃平</v>
      </c>
      <c r="G396" s="1" t="str">
        <f>"R06.09.01"</f>
        <v>R06.09.01</v>
      </c>
      <c r="H396" s="1" t="str">
        <f t="shared" si="19"/>
        <v>開設中</v>
      </c>
      <c r="I396" s="1">
        <v>0</v>
      </c>
      <c r="J396" s="1">
        <v>0</v>
      </c>
      <c r="K396" s="1">
        <v>0</v>
      </c>
      <c r="L396" s="2">
        <v>1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>
        <v>1</v>
      </c>
      <c r="AX396" s="1" t="s">
        <v>94</v>
      </c>
    </row>
    <row r="397" spans="1:50" x14ac:dyDescent="0.4">
      <c r="A397" s="1" t="str">
        <f t="shared" si="20"/>
        <v>八代</v>
      </c>
      <c r="B397" s="1" t="str">
        <f>"みなみクリニック"</f>
        <v>みなみクリニック</v>
      </c>
      <c r="C397" s="1" t="str">
        <f>"869-5141"</f>
        <v>869-5141</v>
      </c>
      <c r="D397" s="1" t="s">
        <v>511</v>
      </c>
      <c r="E397" s="1" t="str">
        <f>"0965383730    "</f>
        <v xml:space="preserve">0965383730    </v>
      </c>
      <c r="F397" s="1" t="str">
        <f>"太田黒　香純"</f>
        <v>太田黒　香純</v>
      </c>
      <c r="G397" s="1" t="str">
        <f>"R07.02.04"</f>
        <v>R07.02.04</v>
      </c>
      <c r="H397" s="1" t="str">
        <f t="shared" si="19"/>
        <v>開設中</v>
      </c>
      <c r="I397" s="1">
        <v>0</v>
      </c>
      <c r="J397" s="1">
        <v>0</v>
      </c>
      <c r="K397" s="1">
        <v>0</v>
      </c>
      <c r="L397" s="2">
        <v>1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1"/>
    </row>
    <row r="398" spans="1:50" s="7" customFormat="1" x14ac:dyDescent="0.4">
      <c r="A398" s="5" t="str">
        <f t="shared" si="20"/>
        <v>八代</v>
      </c>
      <c r="B398" s="5" t="str">
        <f>"緒方内科医院"</f>
        <v>緒方内科医院</v>
      </c>
      <c r="C398" s="5" t="str">
        <f>"869-4602"</f>
        <v>869-4602</v>
      </c>
      <c r="D398" s="5" t="s">
        <v>512</v>
      </c>
      <c r="E398" s="5" t="str">
        <f>"0965622013    "</f>
        <v xml:space="preserve">0965622013    </v>
      </c>
      <c r="F398" s="5" t="str">
        <f>"緒方　智博"</f>
        <v>緒方　智博</v>
      </c>
      <c r="G398" s="5" t="str">
        <f>"R07.04.01"</f>
        <v>R07.04.01</v>
      </c>
      <c r="H398" s="5" t="str">
        <f t="shared" si="19"/>
        <v>開設中</v>
      </c>
      <c r="I398" s="5">
        <v>0</v>
      </c>
      <c r="J398" s="5">
        <v>0</v>
      </c>
      <c r="K398" s="5">
        <v>0</v>
      </c>
      <c r="L398" s="6">
        <v>1</v>
      </c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5"/>
    </row>
    <row r="399" spans="1:50" x14ac:dyDescent="0.4">
      <c r="A399" s="1" t="str">
        <f t="shared" ref="A399:A441" si="21">"水俣"</f>
        <v>水俣</v>
      </c>
      <c r="B399" s="1" t="str">
        <f>"市川内科クリニック"</f>
        <v>市川内科クリニック</v>
      </c>
      <c r="C399" s="1" t="str">
        <f>"867-0023"</f>
        <v>867-0023</v>
      </c>
      <c r="D399" s="1" t="s">
        <v>513</v>
      </c>
      <c r="E399" s="1" t="str">
        <f>"0966620707    "</f>
        <v xml:space="preserve">0966620707    </v>
      </c>
      <c r="F399" s="1" t="str">
        <f>"医療法人社団秀洋会"</f>
        <v>医療法人社団秀洋会</v>
      </c>
      <c r="G399" s="1" t="str">
        <f>"H11.11.01"</f>
        <v>H11.11.01</v>
      </c>
      <c r="H399" s="1" t="str">
        <f t="shared" si="19"/>
        <v>開設中</v>
      </c>
      <c r="I399" s="1">
        <v>0</v>
      </c>
      <c r="J399" s="1">
        <v>0</v>
      </c>
      <c r="K399" s="1">
        <v>0</v>
      </c>
      <c r="L399" s="2">
        <v>1</v>
      </c>
      <c r="M399" s="2"/>
      <c r="N399" s="2"/>
      <c r="O399" s="2"/>
      <c r="P399" s="2">
        <v>1</v>
      </c>
      <c r="Q399" s="2">
        <v>1</v>
      </c>
      <c r="R399" s="2">
        <v>1</v>
      </c>
      <c r="S399" s="2"/>
      <c r="T399" s="2"/>
      <c r="U399" s="2"/>
      <c r="V399" s="2"/>
      <c r="W399" s="2">
        <v>1</v>
      </c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1"/>
    </row>
    <row r="400" spans="1:50" x14ac:dyDescent="0.4">
      <c r="A400" s="1" t="str">
        <f t="shared" si="21"/>
        <v>水俣</v>
      </c>
      <c r="B400" s="1" t="str">
        <f>"大石皮ふ科クリニック"</f>
        <v>大石皮ふ科クリニック</v>
      </c>
      <c r="C400" s="1" t="str">
        <f>"867-0041"</f>
        <v>867-0041</v>
      </c>
      <c r="D400" s="1" t="s">
        <v>514</v>
      </c>
      <c r="E400" s="1" t="str">
        <f>"0966689636    "</f>
        <v xml:space="preserve">0966689636    </v>
      </c>
      <c r="F400" s="1" t="str">
        <f>"大石　空"</f>
        <v>大石　空</v>
      </c>
      <c r="G400" s="1" t="str">
        <f>"H14.09.04"</f>
        <v>H14.09.04</v>
      </c>
      <c r="H400" s="1" t="str">
        <f t="shared" si="19"/>
        <v>開設中</v>
      </c>
      <c r="I400" s="1">
        <v>0</v>
      </c>
      <c r="J400" s="1">
        <v>0</v>
      </c>
      <c r="K400" s="1">
        <v>0</v>
      </c>
      <c r="L400" s="2"/>
      <c r="M400" s="2"/>
      <c r="N400" s="2"/>
      <c r="O400" s="2"/>
      <c r="P400" s="2"/>
      <c r="Q400" s="2"/>
      <c r="R400" s="2"/>
      <c r="S400" s="2"/>
      <c r="T400" s="2"/>
      <c r="U400" s="2">
        <v>1</v>
      </c>
      <c r="V400" s="2"/>
      <c r="W400" s="2"/>
      <c r="X400" s="2"/>
      <c r="Y400" s="2"/>
      <c r="Z400" s="2">
        <v>1</v>
      </c>
      <c r="AA400" s="2"/>
      <c r="AB400" s="2"/>
      <c r="AC400" s="2"/>
      <c r="AD400" s="2"/>
      <c r="AE400" s="2"/>
      <c r="AF400" s="2"/>
      <c r="AG400" s="2"/>
      <c r="AH400" s="2"/>
      <c r="AI400" s="2">
        <v>1</v>
      </c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1"/>
    </row>
    <row r="401" spans="1:50" x14ac:dyDescent="0.4">
      <c r="A401" s="1" t="str">
        <f t="shared" si="21"/>
        <v>水俣</v>
      </c>
      <c r="B401" s="1" t="str">
        <f>"緒方眼科医院"</f>
        <v>緒方眼科医院</v>
      </c>
      <c r="C401" s="1" t="str">
        <f>"867-0059"</f>
        <v>867-0059</v>
      </c>
      <c r="D401" s="1" t="s">
        <v>515</v>
      </c>
      <c r="E401" s="1" t="str">
        <f>"0966633881    "</f>
        <v xml:space="preserve">0966633881    </v>
      </c>
      <c r="F401" s="1" t="str">
        <f>"医療法人仁治会"</f>
        <v>医療法人仁治会</v>
      </c>
      <c r="G401" s="1" t="str">
        <f>"H13.05.01"</f>
        <v>H13.05.01</v>
      </c>
      <c r="H401" s="1" t="str">
        <f t="shared" si="19"/>
        <v>開設中</v>
      </c>
      <c r="I401" s="1">
        <v>16</v>
      </c>
      <c r="J401" s="1">
        <v>16</v>
      </c>
      <c r="K401" s="1">
        <v>0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>
        <v>1</v>
      </c>
      <c r="AO401" s="2"/>
      <c r="AP401" s="2"/>
      <c r="AQ401" s="2"/>
      <c r="AR401" s="2"/>
      <c r="AS401" s="2"/>
      <c r="AT401" s="2"/>
      <c r="AU401" s="2"/>
      <c r="AV401" s="2"/>
      <c r="AW401" s="2"/>
      <c r="AX401" s="1"/>
    </row>
    <row r="402" spans="1:50" x14ac:dyDescent="0.4">
      <c r="A402" s="1" t="str">
        <f t="shared" si="21"/>
        <v>水俣</v>
      </c>
      <c r="B402" s="1" t="str">
        <f>"尾田胃腸科"</f>
        <v>尾田胃腸科</v>
      </c>
      <c r="C402" s="1" t="str">
        <f>"867-0021"</f>
        <v>867-0021</v>
      </c>
      <c r="D402" s="1" t="s">
        <v>516</v>
      </c>
      <c r="E402" s="1" t="str">
        <f>"0966633438    "</f>
        <v xml:space="preserve">0966633438    </v>
      </c>
      <c r="F402" s="1" t="str">
        <f>"医療法人社団学賢"</f>
        <v>医療法人社団学賢</v>
      </c>
      <c r="G402" s="1" t="str">
        <f>"H12.11.01"</f>
        <v>H12.11.01</v>
      </c>
      <c r="H402" s="1" t="str">
        <f t="shared" si="19"/>
        <v>開設中</v>
      </c>
      <c r="I402" s="1">
        <v>19</v>
      </c>
      <c r="J402" s="1">
        <v>19</v>
      </c>
      <c r="K402" s="1">
        <v>0</v>
      </c>
      <c r="L402" s="2">
        <v>1</v>
      </c>
      <c r="M402" s="2"/>
      <c r="N402" s="2"/>
      <c r="O402" s="2"/>
      <c r="P402" s="2"/>
      <c r="Q402" s="2"/>
      <c r="R402" s="2">
        <v>1</v>
      </c>
      <c r="S402" s="2"/>
      <c r="T402" s="2">
        <v>1</v>
      </c>
      <c r="U402" s="2"/>
      <c r="V402" s="2"/>
      <c r="W402" s="2"/>
      <c r="X402" s="2">
        <v>1</v>
      </c>
      <c r="Y402" s="2"/>
      <c r="Z402" s="2"/>
      <c r="AA402" s="2"/>
      <c r="AB402" s="2"/>
      <c r="AC402" s="2"/>
      <c r="AD402" s="2"/>
      <c r="AE402" s="2"/>
      <c r="AF402" s="2"/>
      <c r="AG402" s="2">
        <v>1</v>
      </c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>
        <v>1</v>
      </c>
      <c r="AX402" s="1"/>
    </row>
    <row r="403" spans="1:50" x14ac:dyDescent="0.4">
      <c r="A403" s="1" t="str">
        <f t="shared" si="21"/>
        <v>水俣</v>
      </c>
      <c r="B403" s="1" t="str">
        <f>"国保水俣市立総合医療センター附属久木野診療所"</f>
        <v>国保水俣市立総合医療センター附属久木野診療所</v>
      </c>
      <c r="C403" s="1" t="str">
        <f>"867-0281"</f>
        <v>867-0281</v>
      </c>
      <c r="D403" s="1" t="s">
        <v>517</v>
      </c>
      <c r="E403" s="1" t="str">
        <f>"0966690200    "</f>
        <v xml:space="preserve">0966690200    </v>
      </c>
      <c r="F403" s="1" t="str">
        <f>"水俣市長"</f>
        <v>水俣市長</v>
      </c>
      <c r="G403" s="1" t="str">
        <f>"S31.09.13"</f>
        <v>S31.09.13</v>
      </c>
      <c r="H403" s="1" t="str">
        <f t="shared" si="19"/>
        <v>開設中</v>
      </c>
      <c r="I403" s="1">
        <v>0</v>
      </c>
      <c r="J403" s="1">
        <v>0</v>
      </c>
      <c r="K403" s="1">
        <v>0</v>
      </c>
      <c r="L403" s="2">
        <v>1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>
        <v>1</v>
      </c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1"/>
    </row>
    <row r="404" spans="1:50" x14ac:dyDescent="0.4">
      <c r="A404" s="1" t="str">
        <f t="shared" si="21"/>
        <v>水俣</v>
      </c>
      <c r="B404" s="1" t="str">
        <f>"熊本県水俣保健所"</f>
        <v>熊本県水俣保健所</v>
      </c>
      <c r="C404" s="1" t="str">
        <f>"867-0061"</f>
        <v>867-0061</v>
      </c>
      <c r="D404" s="1" t="s">
        <v>518</v>
      </c>
      <c r="E404" s="1" t="str">
        <f>"0966634104    "</f>
        <v xml:space="preserve">0966634104    </v>
      </c>
      <c r="F404" s="1" t="str">
        <f>"熊本県"</f>
        <v>熊本県</v>
      </c>
      <c r="G404" s="1" t="str">
        <f>"S44.02.01"</f>
        <v>S44.02.01</v>
      </c>
      <c r="H404" s="1" t="str">
        <f t="shared" si="19"/>
        <v>開設中</v>
      </c>
      <c r="I404" s="1">
        <v>0</v>
      </c>
      <c r="J404" s="1">
        <v>0</v>
      </c>
      <c r="K404" s="1">
        <v>0</v>
      </c>
      <c r="L404" s="2">
        <v>1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1"/>
    </row>
    <row r="405" spans="1:50" x14ac:dyDescent="0.4">
      <c r="A405" s="1" t="str">
        <f t="shared" si="21"/>
        <v>水俣</v>
      </c>
      <c r="B405" s="1" t="str">
        <f>"国立水俣病総合研究センター臨床部診療室"</f>
        <v>国立水俣病総合研究センター臨床部診療室</v>
      </c>
      <c r="C405" s="1" t="str">
        <f>"867-0008"</f>
        <v>867-0008</v>
      </c>
      <c r="D405" s="1" t="s">
        <v>519</v>
      </c>
      <c r="E405" s="1" t="str">
        <f>"0966633111    "</f>
        <v xml:space="preserve">0966633111    </v>
      </c>
      <c r="F405" s="1" t="str">
        <f>"環境省"</f>
        <v>環境省</v>
      </c>
      <c r="G405" s="1" t="str">
        <f>"S56.01.27"</f>
        <v>S56.01.27</v>
      </c>
      <c r="H405" s="1" t="str">
        <f t="shared" si="19"/>
        <v>開設中</v>
      </c>
      <c r="I405" s="1">
        <v>0</v>
      </c>
      <c r="J405" s="1">
        <v>0</v>
      </c>
      <c r="K405" s="1">
        <v>0</v>
      </c>
      <c r="L405" s="2"/>
      <c r="M405" s="2"/>
      <c r="N405" s="2"/>
      <c r="O405" s="2"/>
      <c r="P405" s="2">
        <v>1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>
        <v>1</v>
      </c>
      <c r="AR405" s="2"/>
      <c r="AS405" s="2"/>
      <c r="AT405" s="2"/>
      <c r="AU405" s="2"/>
      <c r="AV405" s="2"/>
      <c r="AW405" s="2"/>
      <c r="AX405" s="1"/>
    </row>
    <row r="406" spans="1:50" x14ac:dyDescent="0.4">
      <c r="A406" s="1" t="str">
        <f t="shared" si="21"/>
        <v>水俣</v>
      </c>
      <c r="B406" s="1" t="str">
        <f>"神経内科リハビリテーション協立クリニック"</f>
        <v>神経内科リハビリテーション協立クリニック</v>
      </c>
      <c r="C406" s="1" t="str">
        <f>"867-0045"</f>
        <v>867-0045</v>
      </c>
      <c r="D406" s="1" t="s">
        <v>520</v>
      </c>
      <c r="E406" s="1" t="str">
        <f>"0966636835    "</f>
        <v xml:space="preserve">0966636835    </v>
      </c>
      <c r="F406" s="1" t="str">
        <f>"社会医療法人　芳和会"</f>
        <v>社会医療法人　芳和会</v>
      </c>
      <c r="G406" s="1" t="str">
        <f>"H07.05.01"</f>
        <v>H07.05.01</v>
      </c>
      <c r="H406" s="1" t="str">
        <f t="shared" si="19"/>
        <v>開設中</v>
      </c>
      <c r="I406" s="1">
        <v>0</v>
      </c>
      <c r="J406" s="1">
        <v>0</v>
      </c>
      <c r="K406" s="1">
        <v>0</v>
      </c>
      <c r="L406" s="2">
        <v>1</v>
      </c>
      <c r="M406" s="2">
        <v>1</v>
      </c>
      <c r="N406" s="2">
        <v>1</v>
      </c>
      <c r="O406" s="2"/>
      <c r="P406" s="2">
        <v>1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>
        <v>1</v>
      </c>
      <c r="AR406" s="2"/>
      <c r="AS406" s="2"/>
      <c r="AT406" s="2"/>
      <c r="AU406" s="2"/>
      <c r="AV406" s="2"/>
      <c r="AW406" s="2"/>
      <c r="AX406" s="1"/>
    </row>
    <row r="407" spans="1:50" x14ac:dyDescent="0.4">
      <c r="A407" s="1" t="str">
        <f t="shared" si="21"/>
        <v>水俣</v>
      </c>
      <c r="B407" s="1" t="str">
        <f>"たなか耳鼻科・眼科クリニック"</f>
        <v>たなか耳鼻科・眼科クリニック</v>
      </c>
      <c r="C407" s="1" t="str">
        <f>"867-0045"</f>
        <v>867-0045</v>
      </c>
      <c r="D407" s="1" t="s">
        <v>521</v>
      </c>
      <c r="E407" s="1" t="str">
        <f>"0966628777    "</f>
        <v xml:space="preserve">0966628777    </v>
      </c>
      <c r="F407" s="1" t="str">
        <f>"医療法人社団継成会"</f>
        <v>医療法人社団継成会</v>
      </c>
      <c r="G407" s="1" t="str">
        <f>"H14.04.01"</f>
        <v>H14.04.01</v>
      </c>
      <c r="H407" s="1" t="str">
        <f t="shared" si="19"/>
        <v>開設中</v>
      </c>
      <c r="I407" s="1">
        <v>0</v>
      </c>
      <c r="J407" s="1">
        <v>0</v>
      </c>
      <c r="K407" s="1">
        <v>0</v>
      </c>
      <c r="L407" s="2"/>
      <c r="M407" s="2"/>
      <c r="N407" s="2"/>
      <c r="O407" s="2"/>
      <c r="P407" s="2"/>
      <c r="Q407" s="2"/>
      <c r="R407" s="2"/>
      <c r="S407" s="2"/>
      <c r="T407" s="2"/>
      <c r="U407" s="2">
        <v>1</v>
      </c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>
        <v>1</v>
      </c>
      <c r="AO407" s="2">
        <v>1</v>
      </c>
      <c r="AP407" s="2"/>
      <c r="AQ407" s="2"/>
      <c r="AR407" s="2"/>
      <c r="AS407" s="2"/>
      <c r="AT407" s="2"/>
      <c r="AU407" s="2"/>
      <c r="AV407" s="2"/>
      <c r="AW407" s="2"/>
      <c r="AX407" s="1"/>
    </row>
    <row r="408" spans="1:50" x14ac:dyDescent="0.4">
      <c r="A408" s="1" t="str">
        <f t="shared" si="21"/>
        <v>水俣</v>
      </c>
      <c r="B408" s="1" t="str">
        <f>"てらさきクリニック"</f>
        <v>てらさきクリニック</v>
      </c>
      <c r="C408" s="1" t="str">
        <f>"867-0065"</f>
        <v>867-0065</v>
      </c>
      <c r="D408" s="1" t="s">
        <v>522</v>
      </c>
      <c r="E408" s="1" t="str">
        <f>"0966631200    "</f>
        <v xml:space="preserve">0966631200    </v>
      </c>
      <c r="F408" s="1" t="str">
        <f>"医療法人寺崎会"</f>
        <v>医療法人寺崎会</v>
      </c>
      <c r="G408" s="1" t="str">
        <f>"H10.04.01"</f>
        <v>H10.04.01</v>
      </c>
      <c r="H408" s="1" t="str">
        <f t="shared" ref="H408:H471" si="22">"開設中"</f>
        <v>開設中</v>
      </c>
      <c r="I408" s="1">
        <v>16</v>
      </c>
      <c r="J408" s="1">
        <v>16</v>
      </c>
      <c r="K408" s="1">
        <v>0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>
        <v>1</v>
      </c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1"/>
    </row>
    <row r="409" spans="1:50" x14ac:dyDescent="0.4">
      <c r="A409" s="1" t="str">
        <f t="shared" si="21"/>
        <v>水俣</v>
      </c>
      <c r="B409" s="1" t="str">
        <f>"深水医院"</f>
        <v>深水医院</v>
      </c>
      <c r="C409" s="1" t="str">
        <f>"867-0042"</f>
        <v>867-0042</v>
      </c>
      <c r="D409" s="1" t="s">
        <v>523</v>
      </c>
      <c r="E409" s="1" t="str">
        <f>"0966636390    "</f>
        <v xml:space="preserve">0966636390    </v>
      </c>
      <c r="F409" s="1" t="str">
        <f>"医療法人深水医院"</f>
        <v>医療法人深水医院</v>
      </c>
      <c r="G409" s="1" t="str">
        <f>"H03.09.01"</f>
        <v>H03.09.01</v>
      </c>
      <c r="H409" s="1" t="str">
        <f t="shared" si="22"/>
        <v>開設中</v>
      </c>
      <c r="I409" s="1">
        <v>18</v>
      </c>
      <c r="J409" s="1">
        <v>18</v>
      </c>
      <c r="K409" s="1">
        <v>0</v>
      </c>
      <c r="L409" s="2">
        <v>1</v>
      </c>
      <c r="M409" s="2"/>
      <c r="N409" s="2"/>
      <c r="O409" s="2"/>
      <c r="P409" s="2"/>
      <c r="Q409" s="2"/>
      <c r="R409" s="2">
        <v>1</v>
      </c>
      <c r="S409" s="2"/>
      <c r="T409" s="2">
        <v>1</v>
      </c>
      <c r="U409" s="2"/>
      <c r="V409" s="2"/>
      <c r="W409" s="2">
        <v>1</v>
      </c>
      <c r="X409" s="2">
        <v>1</v>
      </c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>
        <v>1</v>
      </c>
      <c r="AX409" s="1"/>
    </row>
    <row r="410" spans="1:50" x14ac:dyDescent="0.4">
      <c r="A410" s="1" t="str">
        <f t="shared" si="21"/>
        <v>水俣</v>
      </c>
      <c r="B410" s="1" t="str">
        <f>"渕上クリニック"</f>
        <v>渕上クリニック</v>
      </c>
      <c r="C410" s="1" t="str">
        <f>"867-0067"</f>
        <v>867-0067</v>
      </c>
      <c r="D410" s="1" t="s">
        <v>524</v>
      </c>
      <c r="E410" s="1" t="str">
        <f>"0966636552    "</f>
        <v xml:space="preserve">0966636552    </v>
      </c>
      <c r="F410" s="1" t="str">
        <f>"医療法人すえひろ会"</f>
        <v>医療法人すえひろ会</v>
      </c>
      <c r="G410" s="1" t="str">
        <f>"H14.04.19"</f>
        <v>H14.04.19</v>
      </c>
      <c r="H410" s="1" t="str">
        <f t="shared" si="22"/>
        <v>開設中</v>
      </c>
      <c r="I410" s="1">
        <v>0</v>
      </c>
      <c r="J410" s="1">
        <v>0</v>
      </c>
      <c r="K410" s="1">
        <v>0</v>
      </c>
      <c r="L410" s="2">
        <v>1</v>
      </c>
      <c r="M410" s="2"/>
      <c r="N410" s="2"/>
      <c r="O410" s="2"/>
      <c r="P410" s="2"/>
      <c r="Q410" s="2"/>
      <c r="R410" s="2"/>
      <c r="S410" s="2"/>
      <c r="T410" s="2"/>
      <c r="U410" s="2"/>
      <c r="V410" s="2">
        <v>1</v>
      </c>
      <c r="W410" s="2"/>
      <c r="X410" s="2"/>
      <c r="Y410" s="2">
        <v>1</v>
      </c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>
        <v>1</v>
      </c>
      <c r="AR410" s="2"/>
      <c r="AS410" s="2"/>
      <c r="AT410" s="2"/>
      <c r="AU410" s="2"/>
      <c r="AV410" s="2"/>
      <c r="AW410" s="2"/>
      <c r="AX410" s="1"/>
    </row>
    <row r="411" spans="1:50" x14ac:dyDescent="0.4">
      <c r="A411" s="1" t="str">
        <f t="shared" si="21"/>
        <v>水俣</v>
      </c>
      <c r="B411" s="1" t="str">
        <f>"山田クリニック"</f>
        <v>山田クリニック</v>
      </c>
      <c r="C411" s="1" t="str">
        <f>"867-0044"</f>
        <v>867-0044</v>
      </c>
      <c r="D411" s="1" t="s">
        <v>525</v>
      </c>
      <c r="E411" s="1" t="str">
        <f>"0966635188    "</f>
        <v xml:space="preserve">0966635188    </v>
      </c>
      <c r="F411" s="1" t="str">
        <f>"医療法人善哉会"</f>
        <v>医療法人善哉会</v>
      </c>
      <c r="G411" s="1" t="str">
        <f>"H01.12.01"</f>
        <v>H01.12.01</v>
      </c>
      <c r="H411" s="1" t="str">
        <f t="shared" si="22"/>
        <v>開設中</v>
      </c>
      <c r="I411" s="1">
        <v>19</v>
      </c>
      <c r="J411" s="1">
        <v>15</v>
      </c>
      <c r="K411" s="1">
        <v>4</v>
      </c>
      <c r="L411" s="2">
        <v>1</v>
      </c>
      <c r="M411" s="2">
        <v>1</v>
      </c>
      <c r="N411" s="2"/>
      <c r="O411" s="2"/>
      <c r="P411" s="2">
        <v>1</v>
      </c>
      <c r="Q411" s="2">
        <v>1</v>
      </c>
      <c r="R411" s="2">
        <v>1</v>
      </c>
      <c r="S411" s="2"/>
      <c r="T411" s="2">
        <v>1</v>
      </c>
      <c r="U411" s="2"/>
      <c r="V411" s="2"/>
      <c r="W411" s="2">
        <v>1</v>
      </c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>
        <v>1</v>
      </c>
      <c r="AR411" s="2"/>
      <c r="AS411" s="2"/>
      <c r="AT411" s="2"/>
      <c r="AU411" s="2"/>
      <c r="AV411" s="2"/>
      <c r="AW411" s="2"/>
      <c r="AX411" s="1"/>
    </row>
    <row r="412" spans="1:50" x14ac:dyDescent="0.4">
      <c r="A412" s="1" t="str">
        <f t="shared" si="21"/>
        <v>水俣</v>
      </c>
      <c r="B412" s="1" t="str">
        <f>"救護施設野坂の浦荘医務室"</f>
        <v>救護施設野坂の浦荘医務室</v>
      </c>
      <c r="C412" s="1" t="str">
        <f>"869-5305"</f>
        <v>869-5305</v>
      </c>
      <c r="D412" s="1" t="s">
        <v>526</v>
      </c>
      <c r="E412" s="1" t="str">
        <f>"0966872277    "</f>
        <v xml:space="preserve">0966872277    </v>
      </c>
      <c r="F412" s="1" t="str">
        <f>"社会福祉法人蘇生会"</f>
        <v>社会福祉法人蘇生会</v>
      </c>
      <c r="G412" s="1" t="str">
        <f>"S57.04.01"</f>
        <v>S57.04.01</v>
      </c>
      <c r="H412" s="1" t="str">
        <f t="shared" si="22"/>
        <v>開設中</v>
      </c>
      <c r="I412" s="1">
        <v>0</v>
      </c>
      <c r="J412" s="1">
        <v>0</v>
      </c>
      <c r="K412" s="1">
        <v>0</v>
      </c>
      <c r="L412" s="2">
        <v>1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1"/>
    </row>
    <row r="413" spans="1:50" x14ac:dyDescent="0.4">
      <c r="A413" s="1" t="str">
        <f t="shared" si="21"/>
        <v>水俣</v>
      </c>
      <c r="B413" s="1" t="str">
        <f>"特別養護老人ホーム　デイサービスセンター田の浦荘医務室"</f>
        <v>特別養護老人ホーム　デイサービスセンター田の浦荘医務室</v>
      </c>
      <c r="C413" s="1" t="str">
        <f>"869-5305"</f>
        <v>869-5305</v>
      </c>
      <c r="D413" s="1" t="s">
        <v>527</v>
      </c>
      <c r="E413" s="1" t="str">
        <f>"0966870810    "</f>
        <v xml:space="preserve">0966870810    </v>
      </c>
      <c r="F413" s="1" t="str">
        <f>"社会福祉法人栄和福祉会"</f>
        <v>社会福祉法人栄和福祉会</v>
      </c>
      <c r="G413" s="1" t="str">
        <f>"H05.04.01"</f>
        <v>H05.04.01</v>
      </c>
      <c r="H413" s="1" t="str">
        <f t="shared" si="22"/>
        <v>開設中</v>
      </c>
      <c r="I413" s="1">
        <v>0</v>
      </c>
      <c r="J413" s="1">
        <v>0</v>
      </c>
      <c r="K413" s="1">
        <v>0</v>
      </c>
      <c r="L413" s="2">
        <v>1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1"/>
    </row>
    <row r="414" spans="1:50" x14ac:dyDescent="0.4">
      <c r="A414" s="1" t="str">
        <f t="shared" si="21"/>
        <v>水俣</v>
      </c>
      <c r="B414" s="1" t="str">
        <f>"芦北クリニック"</f>
        <v>芦北クリニック</v>
      </c>
      <c r="C414" s="1" t="str">
        <f>"869-5563"</f>
        <v>869-5563</v>
      </c>
      <c r="D414" s="1" t="s">
        <v>528</v>
      </c>
      <c r="E414" s="1" t="str">
        <f>"0966861200    "</f>
        <v xml:space="preserve">0966861200    </v>
      </c>
      <c r="F414" s="1" t="str">
        <f>"医療法人康生会"</f>
        <v>医療法人康生会</v>
      </c>
      <c r="G414" s="1" t="str">
        <f>"H04.04.01"</f>
        <v>H04.04.01</v>
      </c>
      <c r="H414" s="1" t="str">
        <f t="shared" si="22"/>
        <v>開設中</v>
      </c>
      <c r="I414" s="1">
        <v>0</v>
      </c>
      <c r="J414" s="1">
        <v>0</v>
      </c>
      <c r="K414" s="1">
        <v>0</v>
      </c>
      <c r="L414" s="2">
        <v>1</v>
      </c>
      <c r="M414" s="2"/>
      <c r="N414" s="2"/>
      <c r="O414" s="2"/>
      <c r="P414" s="2"/>
      <c r="Q414" s="2">
        <v>1</v>
      </c>
      <c r="R414" s="2">
        <v>1</v>
      </c>
      <c r="S414" s="2"/>
      <c r="T414" s="2">
        <v>1</v>
      </c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1"/>
    </row>
    <row r="415" spans="1:50" x14ac:dyDescent="0.4">
      <c r="A415" s="1" t="str">
        <f t="shared" si="21"/>
        <v>水俣</v>
      </c>
      <c r="B415" s="1" t="str">
        <f>"医療法人社団弘翔会　井上医院"</f>
        <v>医療法人社団弘翔会　井上医院</v>
      </c>
      <c r="C415" s="1" t="str">
        <f>"869-5441"</f>
        <v>869-5441</v>
      </c>
      <c r="D415" s="1" t="s">
        <v>529</v>
      </c>
      <c r="E415" s="1" t="str">
        <f>"0966822503    "</f>
        <v xml:space="preserve">0966822503    </v>
      </c>
      <c r="F415" s="1" t="str">
        <f>"医療法人社団弘翔会"</f>
        <v>医療法人社団弘翔会</v>
      </c>
      <c r="G415" s="1" t="str">
        <f>"H13.04.01"</f>
        <v>H13.04.01</v>
      </c>
      <c r="H415" s="1" t="str">
        <f t="shared" si="22"/>
        <v>開設中</v>
      </c>
      <c r="I415" s="1">
        <v>19</v>
      </c>
      <c r="J415" s="1">
        <v>19</v>
      </c>
      <c r="K415" s="1">
        <v>0</v>
      </c>
      <c r="L415" s="2">
        <v>1</v>
      </c>
      <c r="M415" s="2"/>
      <c r="N415" s="2"/>
      <c r="O415" s="2"/>
      <c r="P415" s="2"/>
      <c r="Q415" s="2"/>
      <c r="R415" s="2"/>
      <c r="S415" s="2">
        <v>1</v>
      </c>
      <c r="T415" s="2"/>
      <c r="U415" s="2"/>
      <c r="V415" s="2"/>
      <c r="W415" s="2">
        <v>1</v>
      </c>
      <c r="X415" s="2">
        <v>1</v>
      </c>
      <c r="Y415" s="2"/>
      <c r="Z415" s="2"/>
      <c r="AA415" s="2"/>
      <c r="AB415" s="2">
        <v>1</v>
      </c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1"/>
    </row>
    <row r="416" spans="1:50" x14ac:dyDescent="0.4">
      <c r="A416" s="1" t="str">
        <f t="shared" si="21"/>
        <v>水俣</v>
      </c>
      <c r="B416" s="1" t="str">
        <f>"篠原医院"</f>
        <v>篠原医院</v>
      </c>
      <c r="C416" s="1" t="str">
        <f>"869-5441"</f>
        <v>869-5441</v>
      </c>
      <c r="D416" s="1" t="s">
        <v>530</v>
      </c>
      <c r="E416" s="1" t="str">
        <f>"0966822046    "</f>
        <v xml:space="preserve">0966822046    </v>
      </c>
      <c r="F416" s="1" t="str">
        <f>"医療法人新清会"</f>
        <v>医療法人新清会</v>
      </c>
      <c r="G416" s="1" t="str">
        <f>"H01.08.01"</f>
        <v>H01.08.01</v>
      </c>
      <c r="H416" s="1" t="str">
        <f t="shared" si="22"/>
        <v>開設中</v>
      </c>
      <c r="I416" s="1">
        <v>4</v>
      </c>
      <c r="J416" s="1">
        <v>4</v>
      </c>
      <c r="K416" s="1">
        <v>0</v>
      </c>
      <c r="L416" s="2">
        <v>1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>
        <v>1</v>
      </c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>
        <v>1</v>
      </c>
      <c r="AJ416" s="2"/>
      <c r="AK416" s="2"/>
      <c r="AL416" s="2"/>
      <c r="AM416" s="2"/>
      <c r="AN416" s="2"/>
      <c r="AO416" s="2"/>
      <c r="AP416" s="2"/>
      <c r="AQ416" s="2">
        <v>1</v>
      </c>
      <c r="AR416" s="2"/>
      <c r="AS416" s="2"/>
      <c r="AT416" s="2"/>
      <c r="AU416" s="2"/>
      <c r="AV416" s="2"/>
      <c r="AW416" s="2"/>
      <c r="AX416" s="1"/>
    </row>
    <row r="417" spans="1:50" x14ac:dyDescent="0.4">
      <c r="A417" s="1" t="str">
        <f t="shared" si="21"/>
        <v>水俣</v>
      </c>
      <c r="B417" s="1" t="str">
        <f>"障害者支援施設石蕗の里医務室"</f>
        <v>障害者支援施設石蕗の里医務室</v>
      </c>
      <c r="C417" s="1" t="str">
        <f>"869-5563"</f>
        <v>869-5563</v>
      </c>
      <c r="D417" s="1" t="s">
        <v>531</v>
      </c>
      <c r="E417" s="1" t="str">
        <f>"0966860515    "</f>
        <v xml:space="preserve">0966860515    </v>
      </c>
      <c r="F417" s="1" t="str">
        <f>"社会福祉法人光輪会"</f>
        <v>社会福祉法人光輪会</v>
      </c>
      <c r="G417" s="1" t="str">
        <f>"S56.12.01"</f>
        <v>S56.12.01</v>
      </c>
      <c r="H417" s="1" t="str">
        <f t="shared" si="22"/>
        <v>開設中</v>
      </c>
      <c r="I417" s="1">
        <v>0</v>
      </c>
      <c r="J417" s="1">
        <v>0</v>
      </c>
      <c r="K417" s="1">
        <v>0</v>
      </c>
      <c r="L417" s="2">
        <v>1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1"/>
    </row>
    <row r="418" spans="1:50" x14ac:dyDescent="0.4">
      <c r="A418" s="1" t="str">
        <f t="shared" si="21"/>
        <v>水俣</v>
      </c>
      <c r="B418" s="1" t="str">
        <f>"特別養護老人ホーム五松園医務室"</f>
        <v>特別養護老人ホーム五松園医務室</v>
      </c>
      <c r="C418" s="1" t="str">
        <f>"869-5442"</f>
        <v>869-5442</v>
      </c>
      <c r="D418" s="1" t="s">
        <v>532</v>
      </c>
      <c r="E418" s="1" t="str">
        <f>"0966824274    "</f>
        <v xml:space="preserve">0966824274    </v>
      </c>
      <c r="F418" s="1" t="str">
        <f>"社会福祉法人慈友会"</f>
        <v>社会福祉法人慈友会</v>
      </c>
      <c r="G418" s="1" t="str">
        <f>"S51.05.13"</f>
        <v>S51.05.13</v>
      </c>
      <c r="H418" s="1" t="str">
        <f t="shared" si="22"/>
        <v>開設中</v>
      </c>
      <c r="I418" s="1">
        <v>0</v>
      </c>
      <c r="J418" s="1">
        <v>0</v>
      </c>
      <c r="K418" s="1">
        <v>0</v>
      </c>
      <c r="L418" s="2">
        <v>1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>
        <v>1</v>
      </c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1"/>
    </row>
    <row r="419" spans="1:50" x14ac:dyDescent="0.4">
      <c r="A419" s="1" t="str">
        <f t="shared" si="21"/>
        <v>水俣</v>
      </c>
      <c r="B419" s="1" t="str">
        <f>"七浦てらさきクリニック"</f>
        <v>七浦てらさきクリニック</v>
      </c>
      <c r="C419" s="1" t="str">
        <f>"899-5561"</f>
        <v>899-5561</v>
      </c>
      <c r="D419" s="1" t="s">
        <v>533</v>
      </c>
      <c r="E419" s="1" t="str">
        <f>"0966825666    "</f>
        <v xml:space="preserve">0966825666    </v>
      </c>
      <c r="F419" s="1" t="str">
        <f>"医療法人寺崎会"</f>
        <v>医療法人寺崎会</v>
      </c>
      <c r="G419" s="1" t="str">
        <f>"H16.07.01"</f>
        <v>H16.07.01</v>
      </c>
      <c r="H419" s="1" t="str">
        <f t="shared" si="22"/>
        <v>開設中</v>
      </c>
      <c r="I419" s="1">
        <v>0</v>
      </c>
      <c r="J419" s="1">
        <v>0</v>
      </c>
      <c r="K419" s="1">
        <v>0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>
        <v>1</v>
      </c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1"/>
    </row>
    <row r="420" spans="1:50" x14ac:dyDescent="0.4">
      <c r="A420" s="1" t="str">
        <f t="shared" si="21"/>
        <v>水俣</v>
      </c>
      <c r="B420" s="1" t="str">
        <f>"松本医院"</f>
        <v>松本医院</v>
      </c>
      <c r="C420" s="1" t="str">
        <f>"869-5442"</f>
        <v>869-5442</v>
      </c>
      <c r="D420" s="1" t="s">
        <v>534</v>
      </c>
      <c r="E420" s="1" t="str">
        <f>"0966822019    "</f>
        <v xml:space="preserve">0966822019    </v>
      </c>
      <c r="F420" s="1" t="str">
        <f>"医療法人三松會"</f>
        <v>医療法人三松會</v>
      </c>
      <c r="G420" s="1" t="str">
        <f>"H09.04.01"</f>
        <v>H09.04.01</v>
      </c>
      <c r="H420" s="1" t="str">
        <f t="shared" si="22"/>
        <v>開設中</v>
      </c>
      <c r="I420" s="1">
        <v>0</v>
      </c>
      <c r="J420" s="1">
        <v>0</v>
      </c>
      <c r="K420" s="1">
        <v>0</v>
      </c>
      <c r="L420" s="2">
        <v>1</v>
      </c>
      <c r="M420" s="2"/>
      <c r="N420" s="2"/>
      <c r="O420" s="2"/>
      <c r="P420" s="2"/>
      <c r="Q420" s="2"/>
      <c r="R420" s="2">
        <v>1</v>
      </c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1"/>
    </row>
    <row r="421" spans="1:50" x14ac:dyDescent="0.4">
      <c r="A421" s="1" t="str">
        <f t="shared" si="21"/>
        <v>水俣</v>
      </c>
      <c r="B421" s="1" t="str">
        <f>"芦北整形外科医院"</f>
        <v>芦北整形外科医院</v>
      </c>
      <c r="C421" s="1" t="str">
        <f>"869-5461"</f>
        <v>869-5461</v>
      </c>
      <c r="D421" s="1" t="s">
        <v>535</v>
      </c>
      <c r="E421" s="1" t="str">
        <f>"0966825510    "</f>
        <v xml:space="preserve">0966825510    </v>
      </c>
      <c r="F421" s="1" t="str">
        <f>"医療法人　芦北整形外科医院"</f>
        <v>医療法人　芦北整形外科医院</v>
      </c>
      <c r="G421" s="1" t="str">
        <f>"H02.06.01"</f>
        <v>H02.06.01</v>
      </c>
      <c r="H421" s="1" t="str">
        <f t="shared" si="22"/>
        <v>開設中</v>
      </c>
      <c r="I421" s="1">
        <v>19</v>
      </c>
      <c r="J421" s="1">
        <v>7</v>
      </c>
      <c r="K421" s="1">
        <v>12</v>
      </c>
      <c r="L421" s="2">
        <v>1</v>
      </c>
      <c r="M421" s="2"/>
      <c r="N421" s="2"/>
      <c r="O421" s="2"/>
      <c r="P421" s="2"/>
      <c r="Q421" s="2"/>
      <c r="R421" s="2">
        <v>1</v>
      </c>
      <c r="S421" s="2"/>
      <c r="T421" s="2"/>
      <c r="U421" s="2"/>
      <c r="V421" s="2"/>
      <c r="W421" s="2"/>
      <c r="X421" s="2">
        <v>1</v>
      </c>
      <c r="Y421" s="2">
        <v>1</v>
      </c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>
        <v>1</v>
      </c>
      <c r="AR421" s="2"/>
      <c r="AS421" s="2"/>
      <c r="AT421" s="2"/>
      <c r="AU421" s="2"/>
      <c r="AV421" s="2"/>
      <c r="AW421" s="2">
        <v>1</v>
      </c>
      <c r="AX421" s="1"/>
    </row>
    <row r="422" spans="1:50" x14ac:dyDescent="0.4">
      <c r="A422" s="1" t="str">
        <f t="shared" si="21"/>
        <v>水俣</v>
      </c>
      <c r="B422" s="1" t="str">
        <f>"特別養護老人ホームあけぼの苑医務室"</f>
        <v>特別養護老人ホームあけぼの苑医務室</v>
      </c>
      <c r="C422" s="1" t="str">
        <f>"869-5603"</f>
        <v>869-5603</v>
      </c>
      <c r="D422" s="1" t="s">
        <v>536</v>
      </c>
      <c r="E422" s="1" t="str">
        <f>"0966784070    "</f>
        <v xml:space="preserve">0966784070    </v>
      </c>
      <c r="F422" s="1" t="str">
        <f>"社会福祉法人清風会"</f>
        <v>社会福祉法人清風会</v>
      </c>
      <c r="G422" s="1" t="str">
        <f>"H06.04.01"</f>
        <v>H06.04.01</v>
      </c>
      <c r="H422" s="1" t="str">
        <f t="shared" si="22"/>
        <v>開設中</v>
      </c>
      <c r="I422" s="1">
        <v>0</v>
      </c>
      <c r="J422" s="1">
        <v>0</v>
      </c>
      <c r="K422" s="1">
        <v>0</v>
      </c>
      <c r="L422" s="2">
        <v>1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1"/>
    </row>
    <row r="423" spans="1:50" x14ac:dyDescent="0.4">
      <c r="A423" s="1" t="str">
        <f t="shared" si="21"/>
        <v>水俣</v>
      </c>
      <c r="B423" s="1" t="str">
        <f>"六車医院"</f>
        <v>六車医院</v>
      </c>
      <c r="C423" s="1" t="str">
        <f>"869-5603"</f>
        <v>869-5603</v>
      </c>
      <c r="D423" s="1" t="s">
        <v>537</v>
      </c>
      <c r="E423" s="1" t="str">
        <f>"0966782012    "</f>
        <v xml:space="preserve">0966782012    </v>
      </c>
      <c r="F423" s="1" t="str">
        <f>"医療法人社団津南会"</f>
        <v>医療法人社団津南会</v>
      </c>
      <c r="G423" s="1" t="str">
        <f>"H11.03.01"</f>
        <v>H11.03.01</v>
      </c>
      <c r="H423" s="1" t="str">
        <f t="shared" si="22"/>
        <v>開設中</v>
      </c>
      <c r="I423" s="1">
        <v>0</v>
      </c>
      <c r="J423" s="1">
        <v>0</v>
      </c>
      <c r="K423" s="1">
        <v>0</v>
      </c>
      <c r="L423" s="2">
        <v>1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>
        <v>1</v>
      </c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1"/>
    </row>
    <row r="424" spans="1:50" x14ac:dyDescent="0.4">
      <c r="A424" s="1" t="str">
        <f t="shared" si="21"/>
        <v>水俣</v>
      </c>
      <c r="B424" s="1" t="str">
        <f>"くまもと中医クリニック"</f>
        <v>くまもと中医クリニック</v>
      </c>
      <c r="C424" s="1" t="str">
        <f>"869-5561"</f>
        <v>869-5561</v>
      </c>
      <c r="D424" s="1" t="s">
        <v>538</v>
      </c>
      <c r="E424" s="1" t="str">
        <f>"0966822148    "</f>
        <v xml:space="preserve">0966822148    </v>
      </c>
      <c r="F424" s="1" t="str">
        <f>"社会福祉法人　志友会"</f>
        <v>社会福祉法人　志友会</v>
      </c>
      <c r="G424" s="1" t="str">
        <f>"H17.09.01"</f>
        <v>H17.09.01</v>
      </c>
      <c r="H424" s="1" t="str">
        <f t="shared" si="22"/>
        <v>開設中</v>
      </c>
      <c r="I424" s="1">
        <v>0</v>
      </c>
      <c r="J424" s="1">
        <v>0</v>
      </c>
      <c r="K424" s="1">
        <v>0</v>
      </c>
      <c r="L424" s="2">
        <v>1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1"/>
    </row>
    <row r="425" spans="1:50" x14ac:dyDescent="0.4">
      <c r="A425" s="1" t="str">
        <f t="shared" si="21"/>
        <v>水俣</v>
      </c>
      <c r="B425" s="1" t="str">
        <f>"天神耳鼻咽喉科"</f>
        <v>天神耳鼻咽喉科</v>
      </c>
      <c r="C425" s="1" t="str">
        <f>"867-0041"</f>
        <v>867-0041</v>
      </c>
      <c r="D425" s="1" t="s">
        <v>539</v>
      </c>
      <c r="E425" s="1" t="str">
        <f>"0966628733    "</f>
        <v xml:space="preserve">0966628733    </v>
      </c>
      <c r="F425" s="1" t="str">
        <f>"幡手宏匡"</f>
        <v>幡手宏匡</v>
      </c>
      <c r="G425" s="1" t="str">
        <f>"H17.12.02"</f>
        <v>H17.12.02</v>
      </c>
      <c r="H425" s="1" t="str">
        <f t="shared" si="22"/>
        <v>開設中</v>
      </c>
      <c r="I425" s="1">
        <v>0</v>
      </c>
      <c r="J425" s="1">
        <v>0</v>
      </c>
      <c r="K425" s="1">
        <v>0</v>
      </c>
      <c r="L425" s="2"/>
      <c r="M425" s="2"/>
      <c r="N425" s="2"/>
      <c r="O425" s="2"/>
      <c r="P425" s="2"/>
      <c r="Q425" s="2"/>
      <c r="R425" s="2"/>
      <c r="S425" s="2"/>
      <c r="T425" s="2"/>
      <c r="U425" s="2">
        <v>1</v>
      </c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>
        <v>1</v>
      </c>
      <c r="AP425" s="2"/>
      <c r="AQ425" s="2"/>
      <c r="AR425" s="2"/>
      <c r="AS425" s="2"/>
      <c r="AT425" s="2"/>
      <c r="AU425" s="2"/>
      <c r="AV425" s="2"/>
      <c r="AW425" s="2"/>
      <c r="AX425" s="1"/>
    </row>
    <row r="426" spans="1:50" x14ac:dyDescent="0.4">
      <c r="A426" s="1" t="str">
        <f t="shared" si="21"/>
        <v>水俣</v>
      </c>
      <c r="B426" s="1" t="str">
        <f>"佐藤クリニック"</f>
        <v>佐藤クリニック</v>
      </c>
      <c r="C426" s="1" t="str">
        <f>"867-0045"</f>
        <v>867-0045</v>
      </c>
      <c r="D426" s="1" t="s">
        <v>540</v>
      </c>
      <c r="E426" s="1" t="str">
        <f>"0966693007    "</f>
        <v xml:space="preserve">0966693007    </v>
      </c>
      <c r="F426" s="1" t="str">
        <f>"佐藤　宏"</f>
        <v>佐藤　宏</v>
      </c>
      <c r="G426" s="1" t="str">
        <f>"H18.03.15"</f>
        <v>H18.03.15</v>
      </c>
      <c r="H426" s="1" t="str">
        <f t="shared" si="22"/>
        <v>開設中</v>
      </c>
      <c r="I426" s="1">
        <v>0</v>
      </c>
      <c r="J426" s="1">
        <v>0</v>
      </c>
      <c r="K426" s="1">
        <v>0</v>
      </c>
      <c r="L426" s="2">
        <v>1</v>
      </c>
      <c r="M426" s="2">
        <v>1</v>
      </c>
      <c r="N426" s="2"/>
      <c r="O426" s="2"/>
      <c r="P426" s="2">
        <v>1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1"/>
    </row>
    <row r="427" spans="1:50" x14ac:dyDescent="0.4">
      <c r="A427" s="1" t="str">
        <f t="shared" si="21"/>
        <v>水俣</v>
      </c>
      <c r="B427" s="1" t="str">
        <f>"宮島医院"</f>
        <v>宮島医院</v>
      </c>
      <c r="C427" s="1" t="str">
        <f>"869-5441"</f>
        <v>869-5441</v>
      </c>
      <c r="D427" s="1" t="s">
        <v>541</v>
      </c>
      <c r="E427" s="1" t="str">
        <f>"0966822254    "</f>
        <v xml:space="preserve">0966822254    </v>
      </c>
      <c r="F427" s="1" t="str">
        <f>"医療法人伸和会"</f>
        <v>医療法人伸和会</v>
      </c>
      <c r="G427" s="1" t="str">
        <f>"H22.12.01"</f>
        <v>H22.12.01</v>
      </c>
      <c r="H427" s="1" t="str">
        <f t="shared" si="22"/>
        <v>開設中</v>
      </c>
      <c r="I427" s="1">
        <v>17</v>
      </c>
      <c r="J427" s="1">
        <v>8</v>
      </c>
      <c r="K427" s="1">
        <v>9</v>
      </c>
      <c r="L427" s="2">
        <v>1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>
        <v>1</v>
      </c>
      <c r="AR427" s="2"/>
      <c r="AS427" s="2"/>
      <c r="AT427" s="2"/>
      <c r="AU427" s="2"/>
      <c r="AV427" s="2"/>
      <c r="AW427" s="2"/>
      <c r="AX427" s="1" t="s">
        <v>62</v>
      </c>
    </row>
    <row r="428" spans="1:50" x14ac:dyDescent="0.4">
      <c r="A428" s="1" t="str">
        <f t="shared" si="21"/>
        <v>水俣</v>
      </c>
      <c r="B428" s="1" t="str">
        <f>"恵愛園診療所"</f>
        <v>恵愛園診療所</v>
      </c>
      <c r="C428" s="1" t="str">
        <f>"867-0035"</f>
        <v>867-0035</v>
      </c>
      <c r="D428" s="1" t="s">
        <v>542</v>
      </c>
      <c r="E428" s="1" t="str">
        <f>"0966632532    "</f>
        <v xml:space="preserve">0966632532    </v>
      </c>
      <c r="F428" s="1" t="str">
        <f>"水俣市社会福祉事業団"</f>
        <v>水俣市社会福祉事業団</v>
      </c>
      <c r="G428" s="1" t="str">
        <f>"H22.04.22"</f>
        <v>H22.04.22</v>
      </c>
      <c r="H428" s="1" t="str">
        <f t="shared" si="22"/>
        <v>開設中</v>
      </c>
      <c r="I428" s="1">
        <v>0</v>
      </c>
      <c r="J428" s="1">
        <v>0</v>
      </c>
      <c r="K428" s="1">
        <v>0</v>
      </c>
      <c r="L428" s="2">
        <v>1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1"/>
    </row>
    <row r="429" spans="1:50" x14ac:dyDescent="0.4">
      <c r="A429" s="1" t="str">
        <f t="shared" si="21"/>
        <v>水俣</v>
      </c>
      <c r="B429" s="1" t="str">
        <f>"竹本医院"</f>
        <v>竹本医院</v>
      </c>
      <c r="C429" s="1" t="str">
        <f>"869-5563"</f>
        <v>869-5563</v>
      </c>
      <c r="D429" s="1" t="s">
        <v>543</v>
      </c>
      <c r="E429" s="1" t="str">
        <f>"0966860075    "</f>
        <v xml:space="preserve">0966860075    </v>
      </c>
      <c r="F429" s="1" t="str">
        <f>"森　健一郎"</f>
        <v>森　健一郎</v>
      </c>
      <c r="G429" s="1" t="str">
        <f>"H22.07.01"</f>
        <v>H22.07.01</v>
      </c>
      <c r="H429" s="1" t="str">
        <f t="shared" si="22"/>
        <v>開設中</v>
      </c>
      <c r="I429" s="1">
        <v>19</v>
      </c>
      <c r="J429" s="1">
        <v>9</v>
      </c>
      <c r="K429" s="1">
        <v>10</v>
      </c>
      <c r="L429" s="2">
        <v>1</v>
      </c>
      <c r="M429" s="2"/>
      <c r="N429" s="2"/>
      <c r="O429" s="2"/>
      <c r="P429" s="2">
        <v>1</v>
      </c>
      <c r="Q429" s="2"/>
      <c r="R429" s="2"/>
      <c r="S429" s="2"/>
      <c r="T429" s="2"/>
      <c r="U429" s="2"/>
      <c r="V429" s="2"/>
      <c r="W429" s="2">
        <v>1</v>
      </c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1"/>
    </row>
    <row r="430" spans="1:50" x14ac:dyDescent="0.4">
      <c r="A430" s="1" t="str">
        <f t="shared" si="21"/>
        <v>水俣</v>
      </c>
      <c r="B430" s="1" t="str">
        <f>"養護老人ホーム有隣　医務室"</f>
        <v>養護老人ホーム有隣　医務室</v>
      </c>
      <c r="C430" s="1" t="str">
        <f>"869-5461"</f>
        <v>869-5461</v>
      </c>
      <c r="D430" s="1" t="s">
        <v>544</v>
      </c>
      <c r="E430" s="1" t="str">
        <f>"0966822249    "</f>
        <v xml:space="preserve">0966822249    </v>
      </c>
      <c r="F430" s="1" t="str">
        <f>"社会福祉法人　慈友会"</f>
        <v>社会福祉法人　慈友会</v>
      </c>
      <c r="G430" s="1" t="str">
        <f>"H23.04.01"</f>
        <v>H23.04.01</v>
      </c>
      <c r="H430" s="1" t="str">
        <f t="shared" si="22"/>
        <v>開設中</v>
      </c>
      <c r="I430" s="1">
        <v>0</v>
      </c>
      <c r="J430" s="1">
        <v>0</v>
      </c>
      <c r="K430" s="1">
        <v>0</v>
      </c>
      <c r="L430" s="2">
        <v>1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>
        <v>1</v>
      </c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1"/>
    </row>
    <row r="431" spans="1:50" x14ac:dyDescent="0.4">
      <c r="A431" s="1" t="str">
        <f t="shared" si="21"/>
        <v>水俣</v>
      </c>
      <c r="B431" s="1" t="str">
        <f>"JNC株式会社水俣製造所診療所"</f>
        <v>JNC株式会社水俣製造所診療所</v>
      </c>
      <c r="C431" s="1" t="str">
        <f>"867-0053"</f>
        <v>867-0053</v>
      </c>
      <c r="D431" s="1" t="s">
        <v>545</v>
      </c>
      <c r="E431" s="1" t="str">
        <f>"0966632110    "</f>
        <v xml:space="preserve">0966632110    </v>
      </c>
      <c r="F431" s="1" t="str">
        <f>"JNC株式会社"</f>
        <v>JNC株式会社</v>
      </c>
      <c r="G431" s="1" t="str">
        <f>"H23.04.05"</f>
        <v>H23.04.05</v>
      </c>
      <c r="H431" s="1" t="str">
        <f t="shared" si="22"/>
        <v>開設中</v>
      </c>
      <c r="I431" s="1">
        <v>0</v>
      </c>
      <c r="J431" s="1">
        <v>0</v>
      </c>
      <c r="K431" s="1">
        <v>0</v>
      </c>
      <c r="L431" s="2">
        <v>1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1"/>
    </row>
    <row r="432" spans="1:50" x14ac:dyDescent="0.4">
      <c r="A432" s="1" t="str">
        <f t="shared" si="21"/>
        <v>水俣</v>
      </c>
      <c r="B432" s="1" t="str">
        <f>"本田レディースクリニック"</f>
        <v>本田レディースクリニック</v>
      </c>
      <c r="C432" s="1" t="str">
        <f>"867-0065"</f>
        <v>867-0065</v>
      </c>
      <c r="D432" s="1" t="s">
        <v>546</v>
      </c>
      <c r="E432" s="1" t="str">
        <f>"0966632019    "</f>
        <v xml:space="preserve">0966632019    </v>
      </c>
      <c r="F432" s="1" t="str">
        <f>"医療法人　ブレス"</f>
        <v>医療法人　ブレス</v>
      </c>
      <c r="G432" s="1" t="str">
        <f>"H23.07.01"</f>
        <v>H23.07.01</v>
      </c>
      <c r="H432" s="1" t="str">
        <f t="shared" si="22"/>
        <v>開設中</v>
      </c>
      <c r="I432" s="1">
        <v>0</v>
      </c>
      <c r="J432" s="1">
        <v>0</v>
      </c>
      <c r="K432" s="1">
        <v>0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>
        <v>1</v>
      </c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1"/>
    </row>
    <row r="433" spans="1:50" x14ac:dyDescent="0.4">
      <c r="A433" s="1" t="str">
        <f t="shared" si="21"/>
        <v>水俣</v>
      </c>
      <c r="B433" s="1" t="str">
        <f>"特別養護老人ホーム白梅の杜　診療所"</f>
        <v>特別養護老人ホーム白梅の杜　診療所</v>
      </c>
      <c r="C433" s="1" t="str">
        <f>"867-0066"</f>
        <v>867-0066</v>
      </c>
      <c r="D433" s="1" t="s">
        <v>547</v>
      </c>
      <c r="E433" s="1" t="str">
        <f>"0966634715    "</f>
        <v xml:space="preserve">0966634715    </v>
      </c>
      <c r="F433" s="1" t="str">
        <f>"社会福祉法人　白梅福祉会"</f>
        <v>社会福祉法人　白梅福祉会</v>
      </c>
      <c r="G433" s="1" t="str">
        <f>"H24.06.01"</f>
        <v>H24.06.01</v>
      </c>
      <c r="H433" s="1" t="str">
        <f t="shared" si="22"/>
        <v>開設中</v>
      </c>
      <c r="I433" s="1">
        <v>0</v>
      </c>
      <c r="J433" s="1">
        <v>0</v>
      </c>
      <c r="K433" s="1">
        <v>0</v>
      </c>
      <c r="L433" s="2">
        <v>1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1"/>
    </row>
    <row r="434" spans="1:50" x14ac:dyDescent="0.4">
      <c r="A434" s="1" t="str">
        <f t="shared" si="21"/>
        <v>水俣</v>
      </c>
      <c r="B434" s="1" t="str">
        <f>"特別養護老人ホームビハーラまどか医務室"</f>
        <v>特別養護老人ホームビハーラまどか医務室</v>
      </c>
      <c r="C434" s="1" t="str">
        <f>"867-0174"</f>
        <v>867-0174</v>
      </c>
      <c r="D434" s="1" t="s">
        <v>548</v>
      </c>
      <c r="E434" s="1" t="str">
        <f>"0966671192    "</f>
        <v xml:space="preserve">0966671192    </v>
      </c>
      <c r="F434" s="1" t="str">
        <f>"社会福祉法人　照徳の里"</f>
        <v>社会福祉法人　照徳の里</v>
      </c>
      <c r="G434" s="1" t="str">
        <f>"H24.12.01"</f>
        <v>H24.12.01</v>
      </c>
      <c r="H434" s="1" t="str">
        <f t="shared" si="22"/>
        <v>開設中</v>
      </c>
      <c r="I434" s="1">
        <v>0</v>
      </c>
      <c r="J434" s="1">
        <v>0</v>
      </c>
      <c r="K434" s="1">
        <v>0</v>
      </c>
      <c r="L434" s="2">
        <v>1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1" t="s">
        <v>95</v>
      </c>
    </row>
    <row r="435" spans="1:50" x14ac:dyDescent="0.4">
      <c r="A435" s="1" t="str">
        <f t="shared" si="21"/>
        <v>水俣</v>
      </c>
      <c r="B435" s="1" t="str">
        <f>"まなべクリニック"</f>
        <v>まなべクリニック</v>
      </c>
      <c r="C435" s="1" t="str">
        <f>"867-0066"</f>
        <v>867-0066</v>
      </c>
      <c r="D435" s="1" t="s">
        <v>549</v>
      </c>
      <c r="E435" s="1" t="str">
        <f>"0966849080    "</f>
        <v xml:space="preserve">0966849080    </v>
      </c>
      <c r="F435" s="1" t="str">
        <f>"啓愛会"</f>
        <v>啓愛会</v>
      </c>
      <c r="G435" s="1" t="str">
        <f>"H26.08.06"</f>
        <v>H26.08.06</v>
      </c>
      <c r="H435" s="1" t="str">
        <f t="shared" si="22"/>
        <v>開設中</v>
      </c>
      <c r="I435" s="1">
        <v>0</v>
      </c>
      <c r="J435" s="1">
        <v>0</v>
      </c>
      <c r="K435" s="1">
        <v>0</v>
      </c>
      <c r="L435" s="2">
        <v>1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>
        <v>1</v>
      </c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1"/>
    </row>
    <row r="436" spans="1:50" x14ac:dyDescent="0.4">
      <c r="A436" s="1" t="str">
        <f t="shared" si="21"/>
        <v>水俣</v>
      </c>
      <c r="B436" s="1" t="str">
        <f>"百崎内科医院"</f>
        <v>百崎内科医院</v>
      </c>
      <c r="C436" s="1" t="str">
        <f>"869-5302"</f>
        <v>869-5302</v>
      </c>
      <c r="D436" s="1" t="s">
        <v>550</v>
      </c>
      <c r="E436" s="1" t="str">
        <f>"0966871777    "</f>
        <v xml:space="preserve">0966871777    </v>
      </c>
      <c r="F436" s="1" t="str">
        <f>"百崎　志伸"</f>
        <v>百崎　志伸</v>
      </c>
      <c r="G436" s="1" t="str">
        <f>"H26.10.01"</f>
        <v>H26.10.01</v>
      </c>
      <c r="H436" s="1" t="str">
        <f t="shared" si="22"/>
        <v>開設中</v>
      </c>
      <c r="I436" s="1">
        <v>15</v>
      </c>
      <c r="J436" s="1">
        <v>15</v>
      </c>
      <c r="K436" s="1">
        <v>0</v>
      </c>
      <c r="L436" s="2">
        <v>1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>
        <v>1</v>
      </c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1"/>
    </row>
    <row r="437" spans="1:50" x14ac:dyDescent="0.4">
      <c r="A437" s="1" t="str">
        <f t="shared" si="21"/>
        <v>水俣</v>
      </c>
      <c r="B437" s="1" t="str">
        <f>"芦北とりかい眼科"</f>
        <v>芦北とりかい眼科</v>
      </c>
      <c r="C437" s="1" t="str">
        <f>"869-5461"</f>
        <v>869-5461</v>
      </c>
      <c r="D437" s="1" t="s">
        <v>551</v>
      </c>
      <c r="E437" s="1" t="str">
        <f>"0966825881    "</f>
        <v xml:space="preserve">0966825881    </v>
      </c>
      <c r="F437" s="1" t="str">
        <f>"医療法人 フェニックス"</f>
        <v>医療法人 フェニックス</v>
      </c>
      <c r="G437" s="1" t="str">
        <f>"H28.04.01"</f>
        <v>H28.04.01</v>
      </c>
      <c r="H437" s="1" t="str">
        <f t="shared" si="22"/>
        <v>開設中</v>
      </c>
      <c r="I437" s="1">
        <v>0</v>
      </c>
      <c r="J437" s="1">
        <v>0</v>
      </c>
      <c r="K437" s="1">
        <v>0</v>
      </c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>
        <v>1</v>
      </c>
      <c r="AO437" s="2"/>
      <c r="AP437" s="2"/>
      <c r="AQ437" s="2"/>
      <c r="AR437" s="2"/>
      <c r="AS437" s="2"/>
      <c r="AT437" s="2"/>
      <c r="AU437" s="2"/>
      <c r="AV437" s="2"/>
      <c r="AW437" s="2"/>
      <c r="AX437" s="1"/>
    </row>
    <row r="438" spans="1:50" x14ac:dyDescent="0.4">
      <c r="A438" s="1" t="str">
        <f t="shared" si="21"/>
        <v>水俣</v>
      </c>
      <c r="B438" s="1" t="str">
        <f>"特別養護老人ホーム白梅荘　診療所"</f>
        <v>特別養護老人ホーム白梅荘　診療所</v>
      </c>
      <c r="C438" s="1" t="str">
        <f>"867-0066"</f>
        <v>867-0066</v>
      </c>
      <c r="D438" s="1" t="s">
        <v>552</v>
      </c>
      <c r="E438" s="1" t="str">
        <f>"0966634715    "</f>
        <v xml:space="preserve">0966634715    </v>
      </c>
      <c r="F438" s="1" t="str">
        <f>"社会福祉法人白梅福祉会"</f>
        <v>社会福祉法人白梅福祉会</v>
      </c>
      <c r="G438" s="1" t="str">
        <f>"R02.09.11"</f>
        <v>R02.09.11</v>
      </c>
      <c r="H438" s="1" t="str">
        <f t="shared" si="22"/>
        <v>開設中</v>
      </c>
      <c r="I438" s="1">
        <v>0</v>
      </c>
      <c r="J438" s="1">
        <v>0</v>
      </c>
      <c r="K438" s="1">
        <v>0</v>
      </c>
      <c r="L438" s="2">
        <v>1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1"/>
    </row>
    <row r="439" spans="1:50" x14ac:dyDescent="0.4">
      <c r="A439" s="1" t="str">
        <f t="shared" si="21"/>
        <v>水俣</v>
      </c>
      <c r="B439" s="1" t="str">
        <f>"エコチル調査8歳健康診断センター"</f>
        <v>エコチル調査8歳健康診断センター</v>
      </c>
      <c r="C439" s="1" t="str">
        <f>"867-0009"</f>
        <v>867-0009</v>
      </c>
      <c r="D439" s="1" t="s">
        <v>553</v>
      </c>
      <c r="E439" s="1" t="str">
        <f>"09083928596   "</f>
        <v xml:space="preserve">09083928596   </v>
      </c>
      <c r="F439" s="1" t="str">
        <f>"倉岡　将平"</f>
        <v>倉岡　将平</v>
      </c>
      <c r="G439" s="1" t="str">
        <f>"R03.08.28"</f>
        <v>R03.08.28</v>
      </c>
      <c r="H439" s="1" t="str">
        <f t="shared" si="22"/>
        <v>開設中</v>
      </c>
      <c r="I439" s="1">
        <v>0</v>
      </c>
      <c r="J439" s="1">
        <v>0</v>
      </c>
      <c r="K439" s="1">
        <v>0</v>
      </c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>
        <v>1</v>
      </c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1"/>
    </row>
    <row r="440" spans="1:50" x14ac:dyDescent="0.4">
      <c r="A440" s="1" t="str">
        <f t="shared" si="21"/>
        <v>水俣</v>
      </c>
      <c r="B440" s="1" t="str">
        <f>"（使用しない）特別養護老人ホーム和光苑　医務室"</f>
        <v>（使用しない）特別養護老人ホーム和光苑　医務室</v>
      </c>
      <c r="C440" s="1" t="str">
        <f>"867-0034"</f>
        <v>867-0034</v>
      </c>
      <c r="D440" s="1" t="s">
        <v>554</v>
      </c>
      <c r="E440" s="1" t="str">
        <f>"0966611177    "</f>
        <v xml:space="preserve">0966611177    </v>
      </c>
      <c r="F440" s="1" t="str">
        <f>"社会福祉法人　光栄会"</f>
        <v>社会福祉法人　光栄会</v>
      </c>
      <c r="G440" s="1" t="str">
        <f>"R05.11.01"</f>
        <v>R05.11.01</v>
      </c>
      <c r="H440" s="1" t="str">
        <f t="shared" si="22"/>
        <v>開設中</v>
      </c>
      <c r="I440" s="1">
        <v>0</v>
      </c>
      <c r="J440" s="1">
        <v>0</v>
      </c>
      <c r="K440" s="1">
        <v>0</v>
      </c>
      <c r="L440" s="2">
        <v>1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1"/>
    </row>
    <row r="441" spans="1:50" x14ac:dyDescent="0.4">
      <c r="A441" s="1" t="str">
        <f t="shared" si="21"/>
        <v>水俣</v>
      </c>
      <c r="B441" s="1" t="str">
        <f>"特別養護老人ホーム和光苑医務室"</f>
        <v>特別養護老人ホーム和光苑医務室</v>
      </c>
      <c r="C441" s="1" t="str">
        <f>"867-0034"</f>
        <v>867-0034</v>
      </c>
      <c r="D441" s="1" t="s">
        <v>555</v>
      </c>
      <c r="E441" s="1" t="str">
        <f>"0966611177    "</f>
        <v xml:space="preserve">0966611177    </v>
      </c>
      <c r="F441" s="1" t="str">
        <f>"社会福祉法人光栄会"</f>
        <v>社会福祉法人光栄会</v>
      </c>
      <c r="G441" s="1" t="str">
        <f>"R05.11.01"</f>
        <v>R05.11.01</v>
      </c>
      <c r="H441" s="1" t="str">
        <f t="shared" si="22"/>
        <v>開設中</v>
      </c>
      <c r="I441" s="1">
        <v>0</v>
      </c>
      <c r="J441" s="1">
        <v>0</v>
      </c>
      <c r="K441" s="1">
        <v>0</v>
      </c>
      <c r="L441" s="2">
        <v>1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1"/>
    </row>
    <row r="442" spans="1:50" x14ac:dyDescent="0.4">
      <c r="A442" s="1" t="str">
        <f t="shared" ref="A442:A473" si="23">"人吉"</f>
        <v>人吉</v>
      </c>
      <c r="B442" s="1" t="str">
        <f>"たかの眼科"</f>
        <v>たかの眼科</v>
      </c>
      <c r="C442" s="1" t="str">
        <f>"868-0422"</f>
        <v>868-0422</v>
      </c>
      <c r="D442" s="1" t="s">
        <v>556</v>
      </c>
      <c r="E442" s="1" t="str">
        <f>"0966472550    "</f>
        <v xml:space="preserve">0966472550    </v>
      </c>
      <c r="F442" s="1" t="str">
        <f>"医療法人　たかの眼科"</f>
        <v>医療法人　たかの眼科</v>
      </c>
      <c r="G442" s="1" t="str">
        <f>"H30.03.01"</f>
        <v>H30.03.01</v>
      </c>
      <c r="H442" s="1" t="str">
        <f t="shared" si="22"/>
        <v>開設中</v>
      </c>
      <c r="I442" s="1">
        <v>0</v>
      </c>
      <c r="J442" s="1">
        <v>0</v>
      </c>
      <c r="K442" s="1">
        <v>0</v>
      </c>
      <c r="L442" s="2">
        <v>1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>
        <v>1</v>
      </c>
      <c r="AO442" s="2"/>
      <c r="AP442" s="2"/>
      <c r="AQ442" s="2"/>
      <c r="AR442" s="2"/>
      <c r="AS442" s="2"/>
      <c r="AT442" s="2"/>
      <c r="AU442" s="2"/>
      <c r="AV442" s="2"/>
      <c r="AW442" s="2"/>
      <c r="AX442" s="1"/>
    </row>
    <row r="443" spans="1:50" x14ac:dyDescent="0.4">
      <c r="A443" s="1" t="str">
        <f t="shared" si="23"/>
        <v>人吉</v>
      </c>
      <c r="B443" s="1" t="str">
        <f>"槻木診療所"</f>
        <v>槻木診療所</v>
      </c>
      <c r="C443" s="1" t="str">
        <f>"868-0505"</f>
        <v>868-0505</v>
      </c>
      <c r="D443" s="1" t="s">
        <v>557</v>
      </c>
      <c r="E443" s="1" t="str">
        <f>"0966441002    "</f>
        <v xml:space="preserve">0966441002    </v>
      </c>
      <c r="F443" s="1" t="str">
        <f>"多良木町"</f>
        <v>多良木町</v>
      </c>
      <c r="G443" s="1" t="str">
        <f>"H31.04.01"</f>
        <v>H31.04.01</v>
      </c>
      <c r="H443" s="1" t="str">
        <f t="shared" si="22"/>
        <v>開設中</v>
      </c>
      <c r="I443" s="1">
        <v>0</v>
      </c>
      <c r="J443" s="1">
        <v>0</v>
      </c>
      <c r="K443" s="1">
        <v>0</v>
      </c>
      <c r="L443" s="2">
        <v>1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>
        <v>1</v>
      </c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1"/>
    </row>
    <row r="444" spans="1:50" x14ac:dyDescent="0.4">
      <c r="A444" s="1" t="str">
        <f t="shared" si="23"/>
        <v>人吉</v>
      </c>
      <c r="B444" s="1" t="str">
        <f>"特別養護老人ホーム福寿荘医務室"</f>
        <v>特別養護老人ホーム福寿荘医務室</v>
      </c>
      <c r="C444" s="1" t="str">
        <f>"868-0623"</f>
        <v>868-0623</v>
      </c>
      <c r="D444" s="1" t="s">
        <v>558</v>
      </c>
      <c r="E444" s="1" t="str">
        <f>"0966433151    "</f>
        <v xml:space="preserve">0966433151    </v>
      </c>
      <c r="F444" s="1" t="str">
        <f>"社会福祉法人紘健会"</f>
        <v>社会福祉法人紘健会</v>
      </c>
      <c r="G444" s="1" t="str">
        <f>"R02.04.01"</f>
        <v>R02.04.01</v>
      </c>
      <c r="H444" s="1" t="str">
        <f t="shared" si="22"/>
        <v>開設中</v>
      </c>
      <c r="I444" s="1">
        <v>0</v>
      </c>
      <c r="J444" s="1">
        <v>0</v>
      </c>
      <c r="K444" s="1">
        <v>0</v>
      </c>
      <c r="L444" s="2">
        <v>1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>
        <v>1</v>
      </c>
      <c r="Y444" s="2">
        <v>1</v>
      </c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1"/>
    </row>
    <row r="445" spans="1:50" x14ac:dyDescent="0.4">
      <c r="A445" s="1" t="str">
        <f t="shared" si="23"/>
        <v>人吉</v>
      </c>
      <c r="B445" s="1" t="str">
        <f>"あいこう皮ふ科クリニック"</f>
        <v>あいこう皮ふ科クリニック</v>
      </c>
      <c r="C445" s="1" t="str">
        <f>"868-0006"</f>
        <v>868-0006</v>
      </c>
      <c r="D445" s="1" t="s">
        <v>559</v>
      </c>
      <c r="E445" s="1" t="str">
        <f>"0966228469    "</f>
        <v xml:space="preserve">0966228469    </v>
      </c>
      <c r="F445" s="1" t="str">
        <f>"医療法人愛"</f>
        <v>医療法人愛</v>
      </c>
      <c r="G445" s="1" t="str">
        <f>"H01.02.01"</f>
        <v>H01.02.01</v>
      </c>
      <c r="H445" s="1" t="str">
        <f t="shared" si="22"/>
        <v>開設中</v>
      </c>
      <c r="I445" s="1">
        <v>0</v>
      </c>
      <c r="J445" s="1">
        <v>0</v>
      </c>
      <c r="K445" s="1">
        <v>0</v>
      </c>
      <c r="L445" s="2">
        <v>1</v>
      </c>
      <c r="M445" s="2"/>
      <c r="N445" s="2"/>
      <c r="O445" s="2"/>
      <c r="P445" s="2"/>
      <c r="Q445" s="2"/>
      <c r="R445" s="2"/>
      <c r="S445" s="2"/>
      <c r="T445" s="2"/>
      <c r="U445" s="2">
        <v>1</v>
      </c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>
        <v>1</v>
      </c>
      <c r="AJ445" s="2"/>
      <c r="AK445" s="2">
        <v>1</v>
      </c>
      <c r="AL445" s="2">
        <v>1</v>
      </c>
      <c r="AM445" s="2">
        <v>1</v>
      </c>
      <c r="AN445" s="2"/>
      <c r="AO445" s="2"/>
      <c r="AP445" s="2"/>
      <c r="AQ445" s="2">
        <v>1</v>
      </c>
      <c r="AR445" s="2"/>
      <c r="AS445" s="2"/>
      <c r="AT445" s="2"/>
      <c r="AU445" s="2"/>
      <c r="AV445" s="2"/>
      <c r="AW445" s="2"/>
      <c r="AX445" s="1"/>
    </row>
    <row r="446" spans="1:50" x14ac:dyDescent="0.4">
      <c r="A446" s="1" t="str">
        <f t="shared" si="23"/>
        <v>人吉</v>
      </c>
      <c r="B446" s="1" t="str">
        <f>"あいだ診療所"</f>
        <v>あいだ診療所</v>
      </c>
      <c r="C446" s="1" t="str">
        <f>"868-0822"</f>
        <v>868-0822</v>
      </c>
      <c r="D446" s="1" t="s">
        <v>560</v>
      </c>
      <c r="E446" s="1" t="str">
        <f>"0966251651    "</f>
        <v xml:space="preserve">0966251651    </v>
      </c>
      <c r="F446" s="1" t="str">
        <f>"医療法人社団新晃会"</f>
        <v>医療法人社団新晃会</v>
      </c>
      <c r="G446" s="1" t="str">
        <f>"H10.10.26"</f>
        <v>H10.10.26</v>
      </c>
      <c r="H446" s="1" t="str">
        <f t="shared" si="22"/>
        <v>開設中</v>
      </c>
      <c r="I446" s="1">
        <v>0</v>
      </c>
      <c r="J446" s="1">
        <v>0</v>
      </c>
      <c r="K446" s="1">
        <v>0</v>
      </c>
      <c r="L446" s="2">
        <v>1</v>
      </c>
      <c r="M446" s="2">
        <v>1</v>
      </c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>
        <v>1</v>
      </c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1"/>
    </row>
    <row r="447" spans="1:50" x14ac:dyDescent="0.4">
      <c r="A447" s="1" t="str">
        <f t="shared" si="23"/>
        <v>人吉</v>
      </c>
      <c r="B447" s="1" t="str">
        <f>"有島耳鼻咽喉科医院"</f>
        <v>有島耳鼻咽喉科医院</v>
      </c>
      <c r="C447" s="1" t="str">
        <f>"868-0071"</f>
        <v>868-0071</v>
      </c>
      <c r="D447" s="1" t="s">
        <v>561</v>
      </c>
      <c r="E447" s="1" t="str">
        <f>"0966242200    "</f>
        <v xml:space="preserve">0966242200    </v>
      </c>
      <c r="F447" s="1" t="str">
        <f>"医療法人有島会"</f>
        <v>医療法人有島会</v>
      </c>
      <c r="G447" s="1" t="str">
        <f>"H07.06.01"</f>
        <v>H07.06.01</v>
      </c>
      <c r="H447" s="1" t="str">
        <f t="shared" si="22"/>
        <v>開設中</v>
      </c>
      <c r="I447" s="1">
        <v>0</v>
      </c>
      <c r="J447" s="1">
        <v>0</v>
      </c>
      <c r="K447" s="1">
        <v>0</v>
      </c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>
        <v>1</v>
      </c>
      <c r="AP447" s="2">
        <v>1</v>
      </c>
      <c r="AQ447" s="2"/>
      <c r="AR447" s="2"/>
      <c r="AS447" s="2"/>
      <c r="AT447" s="2"/>
      <c r="AU447" s="2"/>
      <c r="AV447" s="2"/>
      <c r="AW447" s="2"/>
      <c r="AX447" s="1"/>
    </row>
    <row r="448" spans="1:50" x14ac:dyDescent="0.4">
      <c r="A448" s="1" t="str">
        <f t="shared" si="23"/>
        <v>人吉</v>
      </c>
      <c r="B448" s="1" t="str">
        <f>"伊津野医院"</f>
        <v>伊津野医院</v>
      </c>
      <c r="C448" s="1" t="str">
        <f>"868-0024"</f>
        <v>868-0024</v>
      </c>
      <c r="D448" s="1" t="s">
        <v>562</v>
      </c>
      <c r="E448" s="1" t="str">
        <f>"0966223066    "</f>
        <v xml:space="preserve">0966223066    </v>
      </c>
      <c r="F448" s="1" t="str">
        <f>"伊津野　清徳"</f>
        <v>伊津野　清徳</v>
      </c>
      <c r="G448" s="1" t="str">
        <f>"H07.06.10"</f>
        <v>H07.06.10</v>
      </c>
      <c r="H448" s="1" t="str">
        <f t="shared" si="22"/>
        <v>開設中</v>
      </c>
      <c r="I448" s="1">
        <v>0</v>
      </c>
      <c r="J448" s="1">
        <v>0</v>
      </c>
      <c r="K448" s="1">
        <v>0</v>
      </c>
      <c r="L448" s="2">
        <v>1</v>
      </c>
      <c r="M448" s="2"/>
      <c r="N448" s="2"/>
      <c r="O448" s="2"/>
      <c r="P448" s="2"/>
      <c r="Q448" s="2"/>
      <c r="R448" s="2">
        <v>1</v>
      </c>
      <c r="S448" s="2">
        <v>1</v>
      </c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1"/>
    </row>
    <row r="449" spans="1:50" x14ac:dyDescent="0.4">
      <c r="A449" s="1" t="str">
        <f t="shared" si="23"/>
        <v>人吉</v>
      </c>
      <c r="B449" s="1" t="str">
        <f>"仁誠会クリニック人吉"</f>
        <v>仁誠会クリニック人吉</v>
      </c>
      <c r="C449" s="1" t="str">
        <f>"868-0071"</f>
        <v>868-0071</v>
      </c>
      <c r="D449" s="1" t="s">
        <v>563</v>
      </c>
      <c r="E449" s="1" t="str">
        <f>"0966245611    "</f>
        <v xml:space="preserve">0966245611    </v>
      </c>
      <c r="F449" s="1" t="str">
        <f>"医療法人社団　仁誠会"</f>
        <v>医療法人社団　仁誠会</v>
      </c>
      <c r="G449" s="1" t="str">
        <f>"H13.04.01"</f>
        <v>H13.04.01</v>
      </c>
      <c r="H449" s="1" t="str">
        <f t="shared" si="22"/>
        <v>開設中</v>
      </c>
      <c r="I449" s="1">
        <v>18</v>
      </c>
      <c r="J449" s="1">
        <v>18</v>
      </c>
      <c r="K449" s="1">
        <v>0</v>
      </c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>
        <v>1</v>
      </c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1"/>
    </row>
    <row r="450" spans="1:50" x14ac:dyDescent="0.4">
      <c r="A450" s="1" t="str">
        <f t="shared" si="23"/>
        <v>人吉</v>
      </c>
      <c r="B450" s="1" t="str">
        <f>"平井整形外科リハビリテーションクリニック"</f>
        <v>平井整形外科リハビリテーションクリニック</v>
      </c>
      <c r="C450" s="1" t="str">
        <f>"868-0015"</f>
        <v>868-0015</v>
      </c>
      <c r="D450" s="1" t="s">
        <v>564</v>
      </c>
      <c r="E450" s="1" t="str">
        <f>"0966248213    "</f>
        <v xml:space="preserve">0966248213    </v>
      </c>
      <c r="F450" s="1" t="str">
        <f>"医療法人平井整形外科リハビリテーションクリニック"</f>
        <v>医療法人平井整形外科リハビリテーションクリニック</v>
      </c>
      <c r="G450" s="1" t="str">
        <f>"H02.02.01"</f>
        <v>H02.02.01</v>
      </c>
      <c r="H450" s="1" t="str">
        <f t="shared" si="22"/>
        <v>開設中</v>
      </c>
      <c r="I450" s="1">
        <v>0</v>
      </c>
      <c r="J450" s="1">
        <v>0</v>
      </c>
      <c r="K450" s="1">
        <v>0</v>
      </c>
      <c r="L450" s="2">
        <v>1</v>
      </c>
      <c r="M450" s="2"/>
      <c r="N450" s="2"/>
      <c r="O450" s="2"/>
      <c r="P450" s="2"/>
      <c r="Q450" s="2"/>
      <c r="R450" s="2"/>
      <c r="S450" s="2"/>
      <c r="T450" s="2"/>
      <c r="U450" s="2"/>
      <c r="V450" s="2">
        <v>1</v>
      </c>
      <c r="W450" s="2"/>
      <c r="X450" s="2"/>
      <c r="Y450" s="2">
        <v>1</v>
      </c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>
        <v>1</v>
      </c>
      <c r="AR450" s="2"/>
      <c r="AS450" s="2"/>
      <c r="AT450" s="2"/>
      <c r="AU450" s="2"/>
      <c r="AV450" s="2"/>
      <c r="AW450" s="2"/>
      <c r="AX450" s="1" t="s">
        <v>96</v>
      </c>
    </row>
    <row r="451" spans="1:50" x14ac:dyDescent="0.4">
      <c r="A451" s="1" t="str">
        <f t="shared" si="23"/>
        <v>人吉</v>
      </c>
      <c r="B451" s="1" t="str">
        <f>"医療法人みなみ眼科"</f>
        <v>医療法人みなみ眼科</v>
      </c>
      <c r="C451" s="1" t="str">
        <f>"868-0016"</f>
        <v>868-0016</v>
      </c>
      <c r="D451" s="1" t="s">
        <v>565</v>
      </c>
      <c r="E451" s="1" t="str">
        <f>"0966226820    "</f>
        <v xml:space="preserve">0966226820    </v>
      </c>
      <c r="F451" s="1" t="str">
        <f>"医療法人みなみ眼科"</f>
        <v>医療法人みなみ眼科</v>
      </c>
      <c r="G451" s="1" t="str">
        <f>"H07.06.01"</f>
        <v>H07.06.01</v>
      </c>
      <c r="H451" s="1" t="str">
        <f t="shared" si="22"/>
        <v>開設中</v>
      </c>
      <c r="I451" s="1">
        <v>3</v>
      </c>
      <c r="J451" s="1">
        <v>3</v>
      </c>
      <c r="K451" s="1">
        <v>0</v>
      </c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>
        <v>1</v>
      </c>
      <c r="AO451" s="2"/>
      <c r="AP451" s="2"/>
      <c r="AQ451" s="2"/>
      <c r="AR451" s="2"/>
      <c r="AS451" s="2"/>
      <c r="AT451" s="2"/>
      <c r="AU451" s="2"/>
      <c r="AV451" s="2"/>
      <c r="AW451" s="2"/>
      <c r="AX451" s="1"/>
    </row>
    <row r="452" spans="1:50" x14ac:dyDescent="0.4">
      <c r="A452" s="1" t="str">
        <f t="shared" si="23"/>
        <v>人吉</v>
      </c>
      <c r="B452" s="1" t="str">
        <f>"岡医院"</f>
        <v>岡医院</v>
      </c>
      <c r="C452" s="1" t="str">
        <f>"868-0055"</f>
        <v>868-0055</v>
      </c>
      <c r="D452" s="1" t="s">
        <v>566</v>
      </c>
      <c r="E452" s="1" t="str">
        <f>"0966223371    "</f>
        <v xml:space="preserve">0966223371    </v>
      </c>
      <c r="F452" s="1" t="str">
        <f>"岡　　啓嗣郎"</f>
        <v>岡　　啓嗣郎</v>
      </c>
      <c r="G452" s="1" t="str">
        <f>"S50.02.01"</f>
        <v>S50.02.01</v>
      </c>
      <c r="H452" s="1" t="str">
        <f t="shared" si="22"/>
        <v>開設中</v>
      </c>
      <c r="I452" s="1">
        <v>19</v>
      </c>
      <c r="J452" s="1">
        <v>19</v>
      </c>
      <c r="K452" s="1">
        <v>0</v>
      </c>
      <c r="L452" s="2">
        <v>1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>
        <v>1</v>
      </c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1"/>
    </row>
    <row r="453" spans="1:50" x14ac:dyDescent="0.4">
      <c r="A453" s="1" t="str">
        <f t="shared" si="23"/>
        <v>人吉</v>
      </c>
      <c r="B453" s="1" t="str">
        <f>"掛井眼科医院"</f>
        <v>掛井眼科医院</v>
      </c>
      <c r="C453" s="1" t="str">
        <f>"868-0006"</f>
        <v>868-0006</v>
      </c>
      <c r="D453" s="1" t="s">
        <v>567</v>
      </c>
      <c r="E453" s="1" t="str">
        <f>"0966223383    "</f>
        <v xml:space="preserve">0966223383    </v>
      </c>
      <c r="F453" s="1" t="str">
        <f>"執行智子"</f>
        <v>執行智子</v>
      </c>
      <c r="G453" s="1" t="str">
        <f>"H02.01.01"</f>
        <v>H02.01.01</v>
      </c>
      <c r="H453" s="1" t="str">
        <f t="shared" si="22"/>
        <v>開設中</v>
      </c>
      <c r="I453" s="1">
        <v>0</v>
      </c>
      <c r="J453" s="1">
        <v>0</v>
      </c>
      <c r="K453" s="1">
        <v>0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>
        <v>1</v>
      </c>
      <c r="AO453" s="2"/>
      <c r="AP453" s="2"/>
      <c r="AQ453" s="2"/>
      <c r="AR453" s="2"/>
      <c r="AS453" s="2"/>
      <c r="AT453" s="2"/>
      <c r="AU453" s="2"/>
      <c r="AV453" s="2"/>
      <c r="AW453" s="2"/>
      <c r="AX453" s="1"/>
    </row>
    <row r="454" spans="1:50" x14ac:dyDescent="0.4">
      <c r="A454" s="1" t="str">
        <f t="shared" si="23"/>
        <v>人吉</v>
      </c>
      <c r="B454" s="1" t="str">
        <f>"願成寺ごんどう医院"</f>
        <v>願成寺ごんどう医院</v>
      </c>
      <c r="C454" s="1" t="str">
        <f>"868-0022"</f>
        <v>868-0022</v>
      </c>
      <c r="D454" s="1" t="s">
        <v>568</v>
      </c>
      <c r="E454" s="1" t="str">
        <f>"0966224700    "</f>
        <v xml:space="preserve">0966224700    </v>
      </c>
      <c r="F454" s="1" t="str">
        <f>"権頭　修"</f>
        <v>権頭　修</v>
      </c>
      <c r="G454" s="1" t="str">
        <f>"H16.06.14"</f>
        <v>H16.06.14</v>
      </c>
      <c r="H454" s="1" t="str">
        <f t="shared" si="22"/>
        <v>開設中</v>
      </c>
      <c r="I454" s="1">
        <v>0</v>
      </c>
      <c r="J454" s="1">
        <v>0</v>
      </c>
      <c r="K454" s="1">
        <v>0</v>
      </c>
      <c r="L454" s="2">
        <v>1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>
        <v>1</v>
      </c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1"/>
    </row>
    <row r="455" spans="1:50" x14ac:dyDescent="0.4">
      <c r="A455" s="1" t="str">
        <f t="shared" si="23"/>
        <v>人吉</v>
      </c>
      <c r="B455" s="1" t="str">
        <f>"小林脳神経外科"</f>
        <v>小林脳神経外科</v>
      </c>
      <c r="C455" s="1" t="str">
        <f>"868-0011"</f>
        <v>868-0011</v>
      </c>
      <c r="D455" s="1" t="s">
        <v>569</v>
      </c>
      <c r="E455" s="1" t="str">
        <f>"0966248331    "</f>
        <v xml:space="preserve">0966248331    </v>
      </c>
      <c r="F455" s="1" t="str">
        <f>"医療法人　暁清会"</f>
        <v>医療法人　暁清会</v>
      </c>
      <c r="G455" s="1" t="str">
        <f>"H16.05.01"</f>
        <v>H16.05.01</v>
      </c>
      <c r="H455" s="1" t="str">
        <f t="shared" si="22"/>
        <v>開設中</v>
      </c>
      <c r="I455" s="1">
        <v>0</v>
      </c>
      <c r="J455" s="1">
        <v>0</v>
      </c>
      <c r="K455" s="1">
        <v>0</v>
      </c>
      <c r="L455" s="2">
        <v>1</v>
      </c>
      <c r="M455" s="2"/>
      <c r="N455" s="2"/>
      <c r="O455" s="2"/>
      <c r="P455" s="2">
        <v>1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>
        <v>1</v>
      </c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>
        <v>1</v>
      </c>
      <c r="AT455" s="2">
        <v>1</v>
      </c>
      <c r="AU455" s="2">
        <v>1</v>
      </c>
      <c r="AV455" s="2">
        <v>1</v>
      </c>
      <c r="AW455" s="2"/>
      <c r="AX455" s="1" t="s">
        <v>61</v>
      </c>
    </row>
    <row r="456" spans="1:50" x14ac:dyDescent="0.4">
      <c r="A456" s="1" t="str">
        <f t="shared" si="23"/>
        <v>人吉</v>
      </c>
      <c r="B456" s="1" t="str">
        <f>"しらおく内科クリニック"</f>
        <v>しらおく内科クリニック</v>
      </c>
      <c r="C456" s="1" t="str">
        <f>"868-0008"</f>
        <v>868-0008</v>
      </c>
      <c r="D456" s="1" t="s">
        <v>570</v>
      </c>
      <c r="E456" s="1" t="str">
        <f>"0966251550    "</f>
        <v xml:space="preserve">0966251550    </v>
      </c>
      <c r="F456" s="1" t="str">
        <f>"白奥　博文"</f>
        <v>白奥　博文</v>
      </c>
      <c r="G456" s="1" t="str">
        <f>"H11.01.20"</f>
        <v>H11.01.20</v>
      </c>
      <c r="H456" s="1" t="str">
        <f t="shared" si="22"/>
        <v>開設中</v>
      </c>
      <c r="I456" s="1">
        <v>0</v>
      </c>
      <c r="J456" s="1">
        <v>0</v>
      </c>
      <c r="K456" s="1">
        <v>0</v>
      </c>
      <c r="L456" s="2">
        <v>1</v>
      </c>
      <c r="M456" s="2"/>
      <c r="N456" s="2"/>
      <c r="O456" s="2"/>
      <c r="P456" s="2"/>
      <c r="Q456" s="2"/>
      <c r="R456" s="2"/>
      <c r="S456" s="2">
        <v>1</v>
      </c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1"/>
    </row>
    <row r="457" spans="1:50" x14ac:dyDescent="0.4">
      <c r="A457" s="1" t="str">
        <f t="shared" si="23"/>
        <v>人吉</v>
      </c>
      <c r="B457" s="1" t="str">
        <f>"障がい者支援施設けやき医務室"</f>
        <v>障がい者支援施設けやき医務室</v>
      </c>
      <c r="C457" s="1" t="str">
        <f>"868-0026"</f>
        <v>868-0026</v>
      </c>
      <c r="D457" s="1" t="s">
        <v>571</v>
      </c>
      <c r="E457" s="1" t="str">
        <f>"0966227022    "</f>
        <v xml:space="preserve">0966227022    </v>
      </c>
      <c r="F457" s="1" t="str">
        <f>"社会福祉法人志友会"</f>
        <v>社会福祉法人志友会</v>
      </c>
      <c r="G457" s="1" t="str">
        <f>"H04.07.01"</f>
        <v>H04.07.01</v>
      </c>
      <c r="H457" s="1" t="str">
        <f t="shared" si="22"/>
        <v>開設中</v>
      </c>
      <c r="I457" s="1">
        <v>0</v>
      </c>
      <c r="J457" s="1">
        <v>0</v>
      </c>
      <c r="K457" s="1">
        <v>0</v>
      </c>
      <c r="L457" s="2">
        <v>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>
        <v>1</v>
      </c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1"/>
    </row>
    <row r="458" spans="1:50" x14ac:dyDescent="0.4">
      <c r="A458" s="1" t="str">
        <f t="shared" si="23"/>
        <v>人吉</v>
      </c>
      <c r="B458" s="1" t="str">
        <f>"聖心老人ホーム"</f>
        <v>聖心老人ホーム</v>
      </c>
      <c r="C458" s="1" t="str">
        <f>"868-0056"</f>
        <v>868-0056</v>
      </c>
      <c r="D458" s="1" t="s">
        <v>572</v>
      </c>
      <c r="E458" s="1" t="str">
        <f>"0966233320    "</f>
        <v xml:space="preserve">0966233320    </v>
      </c>
      <c r="F458" s="1" t="str">
        <f>"社会福祉法人仁和会"</f>
        <v>社会福祉法人仁和会</v>
      </c>
      <c r="G458" s="1" t="str">
        <f>"S60.11.01"</f>
        <v>S60.11.01</v>
      </c>
      <c r="H458" s="1" t="str">
        <f t="shared" si="22"/>
        <v>開設中</v>
      </c>
      <c r="I458" s="1">
        <v>0</v>
      </c>
      <c r="J458" s="1">
        <v>0</v>
      </c>
      <c r="K458" s="1">
        <v>0</v>
      </c>
      <c r="L458" s="2">
        <v>1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1"/>
    </row>
    <row r="459" spans="1:50" x14ac:dyDescent="0.4">
      <c r="A459" s="1" t="str">
        <f t="shared" si="23"/>
        <v>人吉</v>
      </c>
      <c r="B459" s="1" t="str">
        <f>"たかはし小児科内科医院"</f>
        <v>たかはし小児科内科医院</v>
      </c>
      <c r="C459" s="1" t="str">
        <f>"868-0012"</f>
        <v>868-0012</v>
      </c>
      <c r="D459" s="1" t="s">
        <v>573</v>
      </c>
      <c r="E459" s="1" t="str">
        <f>"0966242222    "</f>
        <v xml:space="preserve">0966242222    </v>
      </c>
      <c r="F459" s="1" t="str">
        <f>"高橋耕一"</f>
        <v>高橋耕一</v>
      </c>
      <c r="G459" s="1" t="str">
        <f>"H10.10.29"</f>
        <v>H10.10.29</v>
      </c>
      <c r="H459" s="1" t="str">
        <f t="shared" si="22"/>
        <v>開設中</v>
      </c>
      <c r="I459" s="1">
        <v>0</v>
      </c>
      <c r="J459" s="1">
        <v>0</v>
      </c>
      <c r="K459" s="1">
        <v>0</v>
      </c>
      <c r="L459" s="2">
        <v>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>
        <v>1</v>
      </c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1"/>
    </row>
    <row r="460" spans="1:50" x14ac:dyDescent="0.4">
      <c r="A460" s="1" t="str">
        <f t="shared" si="23"/>
        <v>人吉</v>
      </c>
      <c r="B460" s="1" t="str">
        <f>"たけだ眼科クリニック"</f>
        <v>たけだ眼科クリニック</v>
      </c>
      <c r="C460" s="1" t="str">
        <f>"868-0037"</f>
        <v>868-0037</v>
      </c>
      <c r="D460" s="1" t="s">
        <v>574</v>
      </c>
      <c r="E460" s="1" t="str">
        <f>"0966233096    "</f>
        <v xml:space="preserve">0966233096    </v>
      </c>
      <c r="F460" s="1" t="str">
        <f>"医療法人聖泉会"</f>
        <v>医療法人聖泉会</v>
      </c>
      <c r="G460" s="1" t="str">
        <f>"H14.09.17"</f>
        <v>H14.09.17</v>
      </c>
      <c r="H460" s="1" t="str">
        <f t="shared" si="22"/>
        <v>開設中</v>
      </c>
      <c r="I460" s="1">
        <v>7</v>
      </c>
      <c r="J460" s="1">
        <v>7</v>
      </c>
      <c r="K460" s="1">
        <v>0</v>
      </c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>
        <v>1</v>
      </c>
      <c r="AO460" s="2"/>
      <c r="AP460" s="2"/>
      <c r="AQ460" s="2"/>
      <c r="AR460" s="2"/>
      <c r="AS460" s="2"/>
      <c r="AT460" s="2"/>
      <c r="AU460" s="2"/>
      <c r="AV460" s="2"/>
      <c r="AW460" s="2"/>
      <c r="AX460" s="1"/>
    </row>
    <row r="461" spans="1:50" x14ac:dyDescent="0.4">
      <c r="A461" s="1" t="str">
        <f t="shared" si="23"/>
        <v>人吉</v>
      </c>
      <c r="B461" s="1" t="str">
        <f>"堤病院附属九日町診療所"</f>
        <v>堤病院附属九日町診療所</v>
      </c>
      <c r="C461" s="1" t="str">
        <f>"868-0004"</f>
        <v>868-0004</v>
      </c>
      <c r="D461" s="1" t="s">
        <v>575</v>
      </c>
      <c r="E461" s="1" t="str">
        <f>"0966222251    "</f>
        <v xml:space="preserve">0966222251    </v>
      </c>
      <c r="F461" s="1" t="str">
        <f>"医療法人回生会"</f>
        <v>医療法人回生会</v>
      </c>
      <c r="G461" s="1" t="str">
        <f>"H12.05.25"</f>
        <v>H12.05.25</v>
      </c>
      <c r="H461" s="1" t="str">
        <f t="shared" si="22"/>
        <v>開設中</v>
      </c>
      <c r="I461" s="1">
        <v>0</v>
      </c>
      <c r="J461" s="1">
        <v>0</v>
      </c>
      <c r="K461" s="1">
        <v>0</v>
      </c>
      <c r="L461" s="2">
        <v>1</v>
      </c>
      <c r="M461" s="2"/>
      <c r="N461" s="2"/>
      <c r="O461" s="2"/>
      <c r="P461" s="2"/>
      <c r="Q461" s="2"/>
      <c r="R461" s="2"/>
      <c r="S461" s="2"/>
      <c r="T461" s="2">
        <v>1</v>
      </c>
      <c r="U461" s="2"/>
      <c r="V461" s="2"/>
      <c r="W461" s="2">
        <v>1</v>
      </c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>
        <v>1</v>
      </c>
      <c r="AR461" s="2">
        <v>1</v>
      </c>
      <c r="AS461" s="2"/>
      <c r="AT461" s="2"/>
      <c r="AU461" s="2"/>
      <c r="AV461" s="2"/>
      <c r="AW461" s="2"/>
      <c r="AX461" s="1"/>
    </row>
    <row r="462" spans="1:50" x14ac:dyDescent="0.4">
      <c r="A462" s="1" t="str">
        <f t="shared" si="23"/>
        <v>人吉</v>
      </c>
      <c r="B462" s="1" t="str">
        <f>"特別養護老人ホーム龍生園医務室"</f>
        <v>特別養護老人ホーム龍生園医務室</v>
      </c>
      <c r="C462" s="1" t="str">
        <f>"868-0022"</f>
        <v>868-0022</v>
      </c>
      <c r="D462" s="1" t="s">
        <v>576</v>
      </c>
      <c r="E462" s="1" t="str">
        <f>"0966226621    "</f>
        <v xml:space="preserve">0966226621    </v>
      </c>
      <c r="F462" s="1" t="str">
        <f>"社会福祉法人天雲会"</f>
        <v>社会福祉法人天雲会</v>
      </c>
      <c r="G462" s="1" t="str">
        <f>"S51.04.05"</f>
        <v>S51.04.05</v>
      </c>
      <c r="H462" s="1" t="str">
        <f t="shared" si="22"/>
        <v>開設中</v>
      </c>
      <c r="I462" s="1">
        <v>0</v>
      </c>
      <c r="J462" s="1">
        <v>0</v>
      </c>
      <c r="K462" s="1">
        <v>0</v>
      </c>
      <c r="L462" s="2">
        <v>1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1"/>
    </row>
    <row r="463" spans="1:50" x14ac:dyDescent="0.4">
      <c r="A463" s="1" t="str">
        <f t="shared" si="23"/>
        <v>人吉</v>
      </c>
      <c r="B463" s="1" t="str">
        <f>"外山内科"</f>
        <v>外山内科</v>
      </c>
      <c r="C463" s="1" t="str">
        <f>"868-0036"</f>
        <v>868-0036</v>
      </c>
      <c r="D463" s="1" t="s">
        <v>577</v>
      </c>
      <c r="E463" s="1" t="str">
        <f>"0966222003    "</f>
        <v xml:space="preserve">0966222003    </v>
      </c>
      <c r="F463" s="1" t="str">
        <f>"医療法人愛生会"</f>
        <v>医療法人愛生会</v>
      </c>
      <c r="G463" s="1" t="str">
        <f>"H15.03.24"</f>
        <v>H15.03.24</v>
      </c>
      <c r="H463" s="1" t="str">
        <f t="shared" si="22"/>
        <v>開設中</v>
      </c>
      <c r="I463" s="1">
        <v>0</v>
      </c>
      <c r="J463" s="1">
        <v>0</v>
      </c>
      <c r="K463" s="1">
        <v>0</v>
      </c>
      <c r="L463" s="2">
        <v>1</v>
      </c>
      <c r="M463" s="2"/>
      <c r="N463" s="2"/>
      <c r="O463" s="2"/>
      <c r="P463" s="2"/>
      <c r="Q463" s="2">
        <v>1</v>
      </c>
      <c r="R463" s="2">
        <v>1</v>
      </c>
      <c r="S463" s="2"/>
      <c r="T463" s="2">
        <v>1</v>
      </c>
      <c r="U463" s="2"/>
      <c r="V463" s="2"/>
      <c r="W463" s="2">
        <v>1</v>
      </c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>
        <v>1</v>
      </c>
      <c r="AR463" s="2">
        <v>1</v>
      </c>
      <c r="AS463" s="2"/>
      <c r="AT463" s="2"/>
      <c r="AU463" s="2"/>
      <c r="AV463" s="2"/>
      <c r="AW463" s="2"/>
      <c r="AX463" s="1"/>
    </row>
    <row r="464" spans="1:50" x14ac:dyDescent="0.4">
      <c r="A464" s="1" t="str">
        <f t="shared" si="23"/>
        <v>人吉</v>
      </c>
      <c r="B464" s="1" t="str">
        <f>"豊永耳鼻咽喉科医院"</f>
        <v>豊永耳鼻咽喉科医院</v>
      </c>
      <c r="C464" s="1" t="str">
        <f>"868-0037"</f>
        <v>868-0037</v>
      </c>
      <c r="D464" s="1" t="s">
        <v>578</v>
      </c>
      <c r="E464" s="1" t="str">
        <f>"0966222031    "</f>
        <v xml:space="preserve">0966222031    </v>
      </c>
      <c r="F464" s="1" t="str">
        <f>"医療法人豊泉会"</f>
        <v>医療法人豊泉会</v>
      </c>
      <c r="G464" s="1" t="str">
        <f>"H02.03.01"</f>
        <v>H02.03.01</v>
      </c>
      <c r="H464" s="1" t="str">
        <f t="shared" si="22"/>
        <v>開設中</v>
      </c>
      <c r="I464" s="1">
        <v>17</v>
      </c>
      <c r="J464" s="1">
        <v>17</v>
      </c>
      <c r="K464" s="1">
        <v>0</v>
      </c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>
        <v>1</v>
      </c>
      <c r="AP464" s="2">
        <v>1</v>
      </c>
      <c r="AQ464" s="2"/>
      <c r="AR464" s="2"/>
      <c r="AS464" s="2"/>
      <c r="AT464" s="2"/>
      <c r="AU464" s="2"/>
      <c r="AV464" s="2"/>
      <c r="AW464" s="2"/>
      <c r="AX464" s="1"/>
    </row>
    <row r="465" spans="1:50" x14ac:dyDescent="0.4">
      <c r="A465" s="1" t="str">
        <f t="shared" si="23"/>
        <v>人吉</v>
      </c>
      <c r="B465" s="1" t="str">
        <f>"浜田医院"</f>
        <v>浜田医院</v>
      </c>
      <c r="C465" s="1" t="str">
        <f>"868-0025"</f>
        <v>868-0025</v>
      </c>
      <c r="D465" s="1" t="s">
        <v>579</v>
      </c>
      <c r="E465" s="1" t="str">
        <f>"0966223415    "</f>
        <v xml:space="preserve">0966223415    </v>
      </c>
      <c r="F465" s="1" t="str">
        <f>"医療法人社団新晃会"</f>
        <v>医療法人社団新晃会</v>
      </c>
      <c r="G465" s="1" t="str">
        <f>"H09.03.17"</f>
        <v>H09.03.17</v>
      </c>
      <c r="H465" s="1" t="str">
        <f t="shared" si="22"/>
        <v>開設中</v>
      </c>
      <c r="I465" s="1">
        <v>18</v>
      </c>
      <c r="J465" s="1">
        <v>18</v>
      </c>
      <c r="K465" s="1">
        <v>0</v>
      </c>
      <c r="L465" s="2">
        <v>1</v>
      </c>
      <c r="M465" s="2">
        <v>1</v>
      </c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>
        <v>1</v>
      </c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1"/>
    </row>
    <row r="466" spans="1:50" x14ac:dyDescent="0.4">
      <c r="A466" s="1" t="str">
        <f t="shared" si="23"/>
        <v>人吉</v>
      </c>
      <c r="B466" s="1" t="str">
        <f>"人吉皮膚科医院"</f>
        <v>人吉皮膚科医院</v>
      </c>
      <c r="C466" s="1" t="str">
        <f>"868-0071"</f>
        <v>868-0071</v>
      </c>
      <c r="D466" s="1" t="s">
        <v>580</v>
      </c>
      <c r="E466" s="1" t="str">
        <f>"0966226211    "</f>
        <v xml:space="preserve">0966226211    </v>
      </c>
      <c r="F466" s="1" t="str">
        <f>"医療法人社団清峰会"</f>
        <v>医療法人社団清峰会</v>
      </c>
      <c r="G466" s="1" t="str">
        <f>"H07.09.01"</f>
        <v>H07.09.01</v>
      </c>
      <c r="H466" s="1" t="str">
        <f t="shared" si="22"/>
        <v>開設中</v>
      </c>
      <c r="I466" s="1">
        <v>0</v>
      </c>
      <c r="J466" s="1">
        <v>0</v>
      </c>
      <c r="K466" s="1">
        <v>0</v>
      </c>
      <c r="L466" s="2"/>
      <c r="M466" s="2"/>
      <c r="N466" s="2"/>
      <c r="O466" s="2"/>
      <c r="P466" s="2"/>
      <c r="Q466" s="2"/>
      <c r="R466" s="2"/>
      <c r="S466" s="2"/>
      <c r="T466" s="2"/>
      <c r="U466" s="2">
        <v>1</v>
      </c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>
        <v>1</v>
      </c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1"/>
    </row>
    <row r="467" spans="1:50" x14ac:dyDescent="0.4">
      <c r="A467" s="1" t="str">
        <f t="shared" si="23"/>
        <v>人吉</v>
      </c>
      <c r="B467" s="1" t="str">
        <f>"ふかみ耳鼻咽喉科"</f>
        <v>ふかみ耳鼻咽喉科</v>
      </c>
      <c r="C467" s="1" t="str">
        <f>"868-0011"</f>
        <v>868-0011</v>
      </c>
      <c r="D467" s="1" t="s">
        <v>581</v>
      </c>
      <c r="E467" s="1" t="str">
        <f>"0966241126    "</f>
        <v xml:space="preserve">0966241126    </v>
      </c>
      <c r="F467" s="1" t="str">
        <f>"医療法人社団浩榮會"</f>
        <v>医療法人社団浩榮會</v>
      </c>
      <c r="G467" s="1" t="str">
        <f>"H07.12.01"</f>
        <v>H07.12.01</v>
      </c>
      <c r="H467" s="1" t="str">
        <f t="shared" si="22"/>
        <v>開設中</v>
      </c>
      <c r="I467" s="1">
        <v>0</v>
      </c>
      <c r="J467" s="1">
        <v>0</v>
      </c>
      <c r="K467" s="1">
        <v>0</v>
      </c>
      <c r="L467" s="2"/>
      <c r="M467" s="2"/>
      <c r="N467" s="2"/>
      <c r="O467" s="2"/>
      <c r="P467" s="2"/>
      <c r="Q467" s="2"/>
      <c r="R467" s="2"/>
      <c r="S467" s="2"/>
      <c r="T467" s="2"/>
      <c r="U467" s="2">
        <v>1</v>
      </c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>
        <v>1</v>
      </c>
      <c r="AP467" s="2">
        <v>1</v>
      </c>
      <c r="AQ467" s="2"/>
      <c r="AR467" s="2"/>
      <c r="AS467" s="2"/>
      <c r="AT467" s="2"/>
      <c r="AU467" s="2"/>
      <c r="AV467" s="2"/>
      <c r="AW467" s="2"/>
      <c r="AX467" s="1"/>
    </row>
    <row r="468" spans="1:50" x14ac:dyDescent="0.4">
      <c r="A468" s="1" t="str">
        <f t="shared" si="23"/>
        <v>人吉</v>
      </c>
      <c r="B468" s="1" t="str">
        <f>"増田クリニック小児科"</f>
        <v>増田クリニック小児科</v>
      </c>
      <c r="C468" s="1" t="str">
        <f>"868-0035"</f>
        <v>868-0035</v>
      </c>
      <c r="D468" s="1" t="s">
        <v>582</v>
      </c>
      <c r="E468" s="1" t="str">
        <f>"0966223570    "</f>
        <v xml:space="preserve">0966223570    </v>
      </c>
      <c r="F468" s="1" t="str">
        <f>"医療法人増田クリニック"</f>
        <v>医療法人増田クリニック</v>
      </c>
      <c r="G468" s="1" t="str">
        <f>"H15.01.01"</f>
        <v>H15.01.01</v>
      </c>
      <c r="H468" s="1" t="str">
        <f t="shared" si="22"/>
        <v>開設中</v>
      </c>
      <c r="I468" s="1">
        <v>0</v>
      </c>
      <c r="J468" s="1">
        <v>0</v>
      </c>
      <c r="K468" s="1">
        <v>0</v>
      </c>
      <c r="L468" s="2">
        <v>1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>
        <v>1</v>
      </c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1"/>
    </row>
    <row r="469" spans="1:50" x14ac:dyDescent="0.4">
      <c r="A469" s="1" t="str">
        <f t="shared" si="23"/>
        <v>人吉</v>
      </c>
      <c r="B469" s="1" t="str">
        <f>"みのだ内科循環器科"</f>
        <v>みのだ内科循環器科</v>
      </c>
      <c r="C469" s="1" t="str">
        <f>"868-0071"</f>
        <v>868-0071</v>
      </c>
      <c r="D469" s="1" t="s">
        <v>583</v>
      </c>
      <c r="E469" s="1" t="str">
        <f>"0966283111    "</f>
        <v xml:space="preserve">0966283111    </v>
      </c>
      <c r="F469" s="1" t="str">
        <f>"蓑田耕太郎"</f>
        <v>蓑田耕太郎</v>
      </c>
      <c r="G469" s="1" t="str">
        <f>"H12.10.16"</f>
        <v>H12.10.16</v>
      </c>
      <c r="H469" s="1" t="str">
        <f t="shared" si="22"/>
        <v>開設中</v>
      </c>
      <c r="I469" s="1">
        <v>0</v>
      </c>
      <c r="J469" s="1">
        <v>0</v>
      </c>
      <c r="K469" s="1">
        <v>0</v>
      </c>
      <c r="L469" s="2">
        <v>1</v>
      </c>
      <c r="M469" s="2"/>
      <c r="N469" s="2"/>
      <c r="O469" s="2"/>
      <c r="P469" s="2"/>
      <c r="Q469" s="2"/>
      <c r="R469" s="2"/>
      <c r="S469" s="2"/>
      <c r="T469" s="2">
        <v>1</v>
      </c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1"/>
    </row>
    <row r="470" spans="1:50" x14ac:dyDescent="0.4">
      <c r="A470" s="1" t="str">
        <f t="shared" si="23"/>
        <v>人吉</v>
      </c>
      <c r="B470" s="1" t="str">
        <f>"吉村皮ふ科医院"</f>
        <v>吉村皮ふ科医院</v>
      </c>
      <c r="C470" s="1" t="str">
        <f>"868-0021"</f>
        <v>868-0021</v>
      </c>
      <c r="D470" s="1" t="s">
        <v>584</v>
      </c>
      <c r="E470" s="1" t="str">
        <f>"0966227555    "</f>
        <v xml:space="preserve">0966227555    </v>
      </c>
      <c r="F470" s="1" t="str">
        <f>"医療法人社団吉村会"</f>
        <v>医療法人社団吉村会</v>
      </c>
      <c r="G470" s="1" t="str">
        <f>"H13.01.01"</f>
        <v>H13.01.01</v>
      </c>
      <c r="H470" s="1" t="str">
        <f t="shared" si="22"/>
        <v>開設中</v>
      </c>
      <c r="I470" s="1">
        <v>0</v>
      </c>
      <c r="J470" s="1">
        <v>0</v>
      </c>
      <c r="K470" s="1">
        <v>0</v>
      </c>
      <c r="L470" s="2"/>
      <c r="M470" s="2"/>
      <c r="N470" s="2"/>
      <c r="O470" s="2"/>
      <c r="P470" s="2"/>
      <c r="Q470" s="2"/>
      <c r="R470" s="2"/>
      <c r="S470" s="2"/>
      <c r="T470" s="2"/>
      <c r="U470" s="2">
        <v>1</v>
      </c>
      <c r="V470" s="2"/>
      <c r="W470" s="2"/>
      <c r="X470" s="2"/>
      <c r="Y470" s="2"/>
      <c r="Z470" s="2">
        <v>1</v>
      </c>
      <c r="AA470" s="2"/>
      <c r="AB470" s="2"/>
      <c r="AC470" s="2"/>
      <c r="AD470" s="2"/>
      <c r="AE470" s="2"/>
      <c r="AF470" s="2"/>
      <c r="AG470" s="2"/>
      <c r="AH470" s="2"/>
      <c r="AI470" s="2">
        <v>1</v>
      </c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1"/>
    </row>
    <row r="471" spans="1:50" x14ac:dyDescent="0.4">
      <c r="A471" s="1" t="str">
        <f t="shared" si="23"/>
        <v>人吉</v>
      </c>
      <c r="B471" s="1" t="str">
        <f>"小川整形外科医院"</f>
        <v>小川整形外科医院</v>
      </c>
      <c r="C471" s="1" t="str">
        <f>"868-0303"</f>
        <v>868-0303</v>
      </c>
      <c r="D471" s="1" t="s">
        <v>585</v>
      </c>
      <c r="E471" s="1" t="str">
        <f>"0966383455    "</f>
        <v xml:space="preserve">0966383455    </v>
      </c>
      <c r="F471" s="1" t="str">
        <f>"医療法人小川会"</f>
        <v>医療法人小川会</v>
      </c>
      <c r="G471" s="1" t="str">
        <f>"H14.12.01"</f>
        <v>H14.12.01</v>
      </c>
      <c r="H471" s="1" t="str">
        <f t="shared" si="22"/>
        <v>開設中</v>
      </c>
      <c r="I471" s="1">
        <v>0</v>
      </c>
      <c r="J471" s="1">
        <v>0</v>
      </c>
      <c r="K471" s="1">
        <v>0</v>
      </c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>
        <v>1</v>
      </c>
      <c r="W471" s="2"/>
      <c r="X471" s="2"/>
      <c r="Y471" s="2">
        <v>1</v>
      </c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>
        <v>1</v>
      </c>
      <c r="AR471" s="2"/>
      <c r="AS471" s="2"/>
      <c r="AT471" s="2"/>
      <c r="AU471" s="2"/>
      <c r="AV471" s="2"/>
      <c r="AW471" s="2"/>
      <c r="AX471" s="1"/>
    </row>
    <row r="472" spans="1:50" x14ac:dyDescent="0.4">
      <c r="A472" s="1" t="str">
        <f t="shared" si="23"/>
        <v>人吉</v>
      </c>
      <c r="B472" s="1" t="str">
        <f>"高田内科医院"</f>
        <v>高田内科医院</v>
      </c>
      <c r="C472" s="1" t="str">
        <f>"868-0302"</f>
        <v>868-0302</v>
      </c>
      <c r="D472" s="1" t="s">
        <v>586</v>
      </c>
      <c r="E472" s="1" t="str">
        <f>"0966383677    "</f>
        <v xml:space="preserve">0966383677    </v>
      </c>
      <c r="F472" s="1" t="str">
        <f>"高田大起"</f>
        <v>高田大起</v>
      </c>
      <c r="G472" s="1" t="str">
        <f>"H07.11.13"</f>
        <v>H07.11.13</v>
      </c>
      <c r="H472" s="1" t="str">
        <f t="shared" ref="H472:H520" si="24">"開設中"</f>
        <v>開設中</v>
      </c>
      <c r="I472" s="1">
        <v>0</v>
      </c>
      <c r="J472" s="1">
        <v>0</v>
      </c>
      <c r="K472" s="1">
        <v>0</v>
      </c>
      <c r="L472" s="2">
        <v>1</v>
      </c>
      <c r="M472" s="2"/>
      <c r="N472" s="2"/>
      <c r="O472" s="2"/>
      <c r="P472" s="2"/>
      <c r="Q472" s="2"/>
      <c r="R472" s="2"/>
      <c r="S472" s="2">
        <v>1</v>
      </c>
      <c r="T472" s="2"/>
      <c r="U472" s="2"/>
      <c r="V472" s="2"/>
      <c r="W472" s="2">
        <v>1</v>
      </c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1"/>
    </row>
    <row r="473" spans="1:50" x14ac:dyDescent="0.4">
      <c r="A473" s="1" t="str">
        <f t="shared" si="23"/>
        <v>人吉</v>
      </c>
      <c r="B473" s="1" t="str">
        <f>"田中医院"</f>
        <v>田中医院</v>
      </c>
      <c r="C473" s="1" t="str">
        <f>"868-0301"</f>
        <v>868-0301</v>
      </c>
      <c r="D473" s="1" t="s">
        <v>587</v>
      </c>
      <c r="E473" s="1" t="str">
        <f>"0966380061    "</f>
        <v xml:space="preserve">0966380061    </v>
      </c>
      <c r="F473" s="1" t="str">
        <f>"医療法人明生会"</f>
        <v>医療法人明生会</v>
      </c>
      <c r="G473" s="1" t="str">
        <f>"H08.10.01"</f>
        <v>H08.10.01</v>
      </c>
      <c r="H473" s="1" t="str">
        <f t="shared" si="24"/>
        <v>開設中</v>
      </c>
      <c r="I473" s="1">
        <v>0</v>
      </c>
      <c r="J473" s="1">
        <v>0</v>
      </c>
      <c r="K473" s="1">
        <v>0</v>
      </c>
      <c r="L473" s="2">
        <v>1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>
        <v>1</v>
      </c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>
        <v>1</v>
      </c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1"/>
    </row>
    <row r="474" spans="1:50" x14ac:dyDescent="0.4">
      <c r="A474" s="1" t="str">
        <f t="shared" ref="A474:A505" si="25">"人吉"</f>
        <v>人吉</v>
      </c>
      <c r="B474" s="1" t="str">
        <f>"特別養護老人ホームにしき園医務室"</f>
        <v>特別養護老人ホームにしき園医務室</v>
      </c>
      <c r="C474" s="1" t="str">
        <f>"868-0303"</f>
        <v>868-0303</v>
      </c>
      <c r="D474" s="1" t="s">
        <v>588</v>
      </c>
      <c r="E474" s="1" t="str">
        <f>"0966383800    "</f>
        <v xml:space="preserve">0966383800    </v>
      </c>
      <c r="F474" s="1" t="str">
        <f>"社会福祉法人洋香会"</f>
        <v>社会福祉法人洋香会</v>
      </c>
      <c r="G474" s="1" t="str">
        <f>"H04.09.10"</f>
        <v>H04.09.10</v>
      </c>
      <c r="H474" s="1" t="str">
        <f t="shared" si="24"/>
        <v>開設中</v>
      </c>
      <c r="I474" s="1">
        <v>0</v>
      </c>
      <c r="J474" s="1">
        <v>0</v>
      </c>
      <c r="K474" s="1">
        <v>0</v>
      </c>
      <c r="L474" s="2">
        <v>1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1"/>
    </row>
    <row r="475" spans="1:50" x14ac:dyDescent="0.4">
      <c r="A475" s="1" t="str">
        <f t="shared" si="25"/>
        <v>人吉</v>
      </c>
      <c r="B475" s="1" t="str">
        <f>"人吉農芸学院医務課診療所"</f>
        <v>人吉農芸学院医務課診療所</v>
      </c>
      <c r="C475" s="1" t="str">
        <f>"868-0301"</f>
        <v>868-0301</v>
      </c>
      <c r="D475" s="1" t="s">
        <v>589</v>
      </c>
      <c r="E475" s="1" t="str">
        <f>"0966383102    "</f>
        <v xml:space="preserve">0966383102    </v>
      </c>
      <c r="F475" s="1" t="str">
        <f>"法務省"</f>
        <v>法務省</v>
      </c>
      <c r="G475" s="1" t="str">
        <f>"S24.04.01"</f>
        <v>S24.04.01</v>
      </c>
      <c r="H475" s="1" t="str">
        <f t="shared" si="24"/>
        <v>開設中</v>
      </c>
      <c r="I475" s="1">
        <v>0</v>
      </c>
      <c r="J475" s="1">
        <v>0</v>
      </c>
      <c r="K475" s="1">
        <v>0</v>
      </c>
      <c r="L475" s="2">
        <v>1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>
        <v>1</v>
      </c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1"/>
    </row>
    <row r="476" spans="1:50" x14ac:dyDescent="0.4">
      <c r="A476" s="1" t="str">
        <f t="shared" si="25"/>
        <v>人吉</v>
      </c>
      <c r="B476" s="1" t="str">
        <f>"ほづみ皮膚科医院"</f>
        <v>ほづみ皮膚科医院</v>
      </c>
      <c r="C476" s="1" t="str">
        <f>"868-0303"</f>
        <v>868-0303</v>
      </c>
      <c r="D476" s="1" t="s">
        <v>590</v>
      </c>
      <c r="E476" s="1" t="str">
        <f>"0966265300    "</f>
        <v xml:space="preserve">0966265300    </v>
      </c>
      <c r="F476" s="1" t="str">
        <f>"穂積秀樹"</f>
        <v>穂積秀樹</v>
      </c>
      <c r="G476" s="1" t="str">
        <f>"H15.07.11"</f>
        <v>H15.07.11</v>
      </c>
      <c r="H476" s="1" t="str">
        <f t="shared" si="24"/>
        <v>開設中</v>
      </c>
      <c r="I476" s="1">
        <v>0</v>
      </c>
      <c r="J476" s="1">
        <v>0</v>
      </c>
      <c r="K476" s="1">
        <v>0</v>
      </c>
      <c r="L476" s="2"/>
      <c r="M476" s="2"/>
      <c r="N476" s="2"/>
      <c r="O476" s="2"/>
      <c r="P476" s="2"/>
      <c r="Q476" s="2"/>
      <c r="R476" s="2"/>
      <c r="S476" s="2"/>
      <c r="T476" s="2"/>
      <c r="U476" s="2">
        <v>1</v>
      </c>
      <c r="V476" s="2"/>
      <c r="W476" s="2"/>
      <c r="X476" s="2"/>
      <c r="Y476" s="2"/>
      <c r="Z476" s="2">
        <v>1</v>
      </c>
      <c r="AA476" s="2"/>
      <c r="AB476" s="2"/>
      <c r="AC476" s="2"/>
      <c r="AD476" s="2"/>
      <c r="AE476" s="2"/>
      <c r="AF476" s="2"/>
      <c r="AG476" s="2"/>
      <c r="AH476" s="2"/>
      <c r="AI476" s="2">
        <v>1</v>
      </c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1"/>
    </row>
    <row r="477" spans="1:50" x14ac:dyDescent="0.4">
      <c r="A477" s="1" t="str">
        <f t="shared" si="25"/>
        <v>人吉</v>
      </c>
      <c r="B477" s="1" t="str">
        <f>"犬童内科胃腸科医院"</f>
        <v>犬童内科胃腸科医院</v>
      </c>
      <c r="C477" s="1" t="str">
        <f>"868-0422"</f>
        <v>868-0422</v>
      </c>
      <c r="D477" s="1" t="s">
        <v>591</v>
      </c>
      <c r="E477" s="1" t="str">
        <f>"0966451125    "</f>
        <v xml:space="preserve">0966451125    </v>
      </c>
      <c r="F477" s="1" t="str">
        <f>"医療法人三枝会"</f>
        <v>医療法人三枝会</v>
      </c>
      <c r="G477" s="1" t="str">
        <f>"H02.04.01"</f>
        <v>H02.04.01</v>
      </c>
      <c r="H477" s="1" t="str">
        <f t="shared" si="24"/>
        <v>開設中</v>
      </c>
      <c r="I477" s="1">
        <v>0</v>
      </c>
      <c r="J477" s="1">
        <v>0</v>
      </c>
      <c r="K477" s="1">
        <v>0</v>
      </c>
      <c r="L477" s="2">
        <v>1</v>
      </c>
      <c r="M477" s="2"/>
      <c r="N477" s="2"/>
      <c r="O477" s="2"/>
      <c r="P477" s="2"/>
      <c r="Q477" s="2"/>
      <c r="R477" s="2"/>
      <c r="S477" s="2">
        <v>1</v>
      </c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1"/>
    </row>
    <row r="478" spans="1:50" x14ac:dyDescent="0.4">
      <c r="A478" s="1" t="str">
        <f t="shared" si="25"/>
        <v>人吉</v>
      </c>
      <c r="B478" s="1" t="str">
        <f>"あさぎり町立救護施設しらがね寮医務室"</f>
        <v>あさぎり町立救護施設しらがね寮医務室</v>
      </c>
      <c r="C478" s="1" t="str">
        <f>"868-0424"</f>
        <v>868-0424</v>
      </c>
      <c r="D478" s="1" t="s">
        <v>592</v>
      </c>
      <c r="E478" s="1" t="str">
        <f>"0966456668    "</f>
        <v xml:space="preserve">0966456668    </v>
      </c>
      <c r="F478" s="1" t="str">
        <f>"あさぎり町"</f>
        <v>あさぎり町</v>
      </c>
      <c r="G478" s="1" t="str">
        <f>"H15.04.01"</f>
        <v>H15.04.01</v>
      </c>
      <c r="H478" s="1" t="str">
        <f t="shared" si="24"/>
        <v>開設中</v>
      </c>
      <c r="I478" s="1">
        <v>0</v>
      </c>
      <c r="J478" s="1">
        <v>0</v>
      </c>
      <c r="K478" s="1">
        <v>0</v>
      </c>
      <c r="L478" s="2">
        <v>1</v>
      </c>
      <c r="M478" s="2"/>
      <c r="N478" s="2">
        <v>1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1"/>
    </row>
    <row r="479" spans="1:50" x14ac:dyDescent="0.4">
      <c r="A479" s="1" t="str">
        <f t="shared" si="25"/>
        <v>人吉</v>
      </c>
      <c r="B479" s="1" t="str">
        <f>"こんどう整形外科医院"</f>
        <v>こんどう整形外科医院</v>
      </c>
      <c r="C479" s="1" t="str">
        <f>"868-0408"</f>
        <v>868-0408</v>
      </c>
      <c r="D479" s="1" t="s">
        <v>593</v>
      </c>
      <c r="E479" s="1" t="str">
        <f>"0966456555    "</f>
        <v xml:space="preserve">0966456555    </v>
      </c>
      <c r="F479" s="1" t="str">
        <f>"医療法人　藤風会　こんどう整形外科"</f>
        <v>医療法人　藤風会　こんどう整形外科</v>
      </c>
      <c r="G479" s="1" t="str">
        <f>"H13.11.01"</f>
        <v>H13.11.01</v>
      </c>
      <c r="H479" s="1" t="str">
        <f t="shared" si="24"/>
        <v>開設中</v>
      </c>
      <c r="I479" s="1">
        <v>0</v>
      </c>
      <c r="J479" s="1">
        <v>0</v>
      </c>
      <c r="K479" s="1">
        <v>0</v>
      </c>
      <c r="L479" s="2">
        <v>1</v>
      </c>
      <c r="M479" s="2"/>
      <c r="N479" s="2"/>
      <c r="O479" s="2"/>
      <c r="P479" s="2"/>
      <c r="Q479" s="2"/>
      <c r="R479" s="2"/>
      <c r="S479" s="2"/>
      <c r="T479" s="2"/>
      <c r="U479" s="2"/>
      <c r="V479" s="2">
        <v>1</v>
      </c>
      <c r="W479" s="2"/>
      <c r="X479" s="2"/>
      <c r="Y479" s="2">
        <v>1</v>
      </c>
      <c r="Z479" s="2">
        <v>1</v>
      </c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>
        <v>1</v>
      </c>
      <c r="AR479" s="2">
        <v>1</v>
      </c>
      <c r="AS479" s="2"/>
      <c r="AT479" s="2"/>
      <c r="AU479" s="2"/>
      <c r="AV479" s="2"/>
      <c r="AW479" s="2"/>
      <c r="AX479" s="1"/>
    </row>
    <row r="480" spans="1:50" x14ac:dyDescent="0.4">
      <c r="A480" s="1" t="str">
        <f t="shared" si="25"/>
        <v>人吉</v>
      </c>
      <c r="B480" s="1" t="str">
        <f>"翠光園老人ホーム"</f>
        <v>翠光園老人ホーム</v>
      </c>
      <c r="C480" s="1" t="str">
        <f>"868-0442"</f>
        <v>868-0442</v>
      </c>
      <c r="D480" s="1" t="s">
        <v>594</v>
      </c>
      <c r="E480" s="1" t="str">
        <f>"0966450274    "</f>
        <v xml:space="preserve">0966450274    </v>
      </c>
      <c r="F480" s="1" t="str">
        <f>"社会福祉法人翠光園"</f>
        <v>社会福祉法人翠光園</v>
      </c>
      <c r="G480" s="1" t="str">
        <f>"S63.04.01"</f>
        <v>S63.04.01</v>
      </c>
      <c r="H480" s="1" t="str">
        <f t="shared" si="24"/>
        <v>開設中</v>
      </c>
      <c r="I480" s="1">
        <v>0</v>
      </c>
      <c r="J480" s="1">
        <v>0</v>
      </c>
      <c r="K480" s="1">
        <v>0</v>
      </c>
      <c r="L480" s="2">
        <v>1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1"/>
    </row>
    <row r="481" spans="1:50" x14ac:dyDescent="0.4">
      <c r="A481" s="1" t="str">
        <f t="shared" si="25"/>
        <v>人吉</v>
      </c>
      <c r="B481" s="1" t="str">
        <f>"特別養護老人ホームあさぎりホーム"</f>
        <v>特別養護老人ホームあさぎりホーム</v>
      </c>
      <c r="C481" s="1" t="str">
        <f>"868-0432"</f>
        <v>868-0432</v>
      </c>
      <c r="D481" s="1" t="s">
        <v>595</v>
      </c>
      <c r="E481" s="1" t="str">
        <f>"0966455683    "</f>
        <v xml:space="preserve">0966455683    </v>
      </c>
      <c r="F481" s="1" t="str">
        <f>"社会福祉法人洋香会"</f>
        <v>社会福祉法人洋香会</v>
      </c>
      <c r="G481" s="1" t="str">
        <f>"H07.08.01"</f>
        <v>H07.08.01</v>
      </c>
      <c r="H481" s="1" t="str">
        <f t="shared" si="24"/>
        <v>開設中</v>
      </c>
      <c r="I481" s="1">
        <v>0</v>
      </c>
      <c r="J481" s="1">
        <v>0</v>
      </c>
      <c r="K481" s="1">
        <v>0</v>
      </c>
      <c r="L481" s="2">
        <v>1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1"/>
    </row>
    <row r="482" spans="1:50" x14ac:dyDescent="0.4">
      <c r="A482" s="1" t="str">
        <f t="shared" si="25"/>
        <v>人吉</v>
      </c>
      <c r="B482" s="1" t="str">
        <f>"特別養護老人ホーム鐘ケ丘ホーム"</f>
        <v>特別養護老人ホーム鐘ケ丘ホーム</v>
      </c>
      <c r="C482" s="1" t="str">
        <f>"868-0424"</f>
        <v>868-0424</v>
      </c>
      <c r="D482" s="1" t="s">
        <v>596</v>
      </c>
      <c r="E482" s="1" t="str">
        <f>"0966456777    "</f>
        <v xml:space="preserve">0966456777    </v>
      </c>
      <c r="F482" s="1" t="str">
        <f>"社会福祉法人共成舎"</f>
        <v>社会福祉法人共成舎</v>
      </c>
      <c r="G482" s="1" t="str">
        <f>"H10.04.01"</f>
        <v>H10.04.01</v>
      </c>
      <c r="H482" s="1" t="str">
        <f t="shared" si="24"/>
        <v>開設中</v>
      </c>
      <c r="I482" s="1">
        <v>0</v>
      </c>
      <c r="J482" s="1">
        <v>0</v>
      </c>
      <c r="K482" s="1">
        <v>0</v>
      </c>
      <c r="L482" s="2">
        <v>1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>
        <v>1</v>
      </c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1"/>
    </row>
    <row r="483" spans="1:50" x14ac:dyDescent="0.4">
      <c r="A483" s="1" t="str">
        <f t="shared" si="25"/>
        <v>人吉</v>
      </c>
      <c r="B483" s="1" t="str">
        <f>"増田耳鼻咽喉科クリニック"</f>
        <v>増田耳鼻咽喉科クリニック</v>
      </c>
      <c r="C483" s="1" t="str">
        <f>"868-0408"</f>
        <v>868-0408</v>
      </c>
      <c r="D483" s="1" t="s">
        <v>597</v>
      </c>
      <c r="E483" s="1" t="str">
        <f>"0966458001    "</f>
        <v xml:space="preserve">0966458001    </v>
      </c>
      <c r="F483" s="1" t="str">
        <f>"増田敦彦"</f>
        <v>増田敦彦</v>
      </c>
      <c r="G483" s="1" t="str">
        <f>"H11.08.05"</f>
        <v>H11.08.05</v>
      </c>
      <c r="H483" s="1" t="str">
        <f t="shared" si="24"/>
        <v>開設中</v>
      </c>
      <c r="I483" s="1">
        <v>0</v>
      </c>
      <c r="J483" s="1">
        <v>0</v>
      </c>
      <c r="K483" s="1">
        <v>0</v>
      </c>
      <c r="L483" s="2">
        <v>1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>
        <v>1</v>
      </c>
      <c r="AP483" s="2"/>
      <c r="AQ483" s="2"/>
      <c r="AR483" s="2"/>
      <c r="AS483" s="2"/>
      <c r="AT483" s="2"/>
      <c r="AU483" s="2"/>
      <c r="AV483" s="2"/>
      <c r="AW483" s="2"/>
      <c r="AX483" s="1"/>
    </row>
    <row r="484" spans="1:50" x14ac:dyDescent="0.4">
      <c r="A484" s="1" t="str">
        <f t="shared" si="25"/>
        <v>人吉</v>
      </c>
      <c r="B484" s="1" t="str">
        <f>"やまむら小児科・内科"</f>
        <v>やまむら小児科・内科</v>
      </c>
      <c r="C484" s="1" t="str">
        <f>"868-0408"</f>
        <v>868-0408</v>
      </c>
      <c r="D484" s="1" t="s">
        <v>598</v>
      </c>
      <c r="E484" s="1" t="str">
        <f>"0966450005    "</f>
        <v xml:space="preserve">0966450005    </v>
      </c>
      <c r="F484" s="1" t="str">
        <f>"山村　純一"</f>
        <v>山村　純一</v>
      </c>
      <c r="G484" s="1" t="str">
        <f>"H10.04.30"</f>
        <v>H10.04.30</v>
      </c>
      <c r="H484" s="1" t="str">
        <f t="shared" si="24"/>
        <v>開設中</v>
      </c>
      <c r="I484" s="1">
        <v>0</v>
      </c>
      <c r="J484" s="1">
        <v>0</v>
      </c>
      <c r="K484" s="1">
        <v>0</v>
      </c>
      <c r="L484" s="2">
        <v>1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>
        <v>1</v>
      </c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1"/>
    </row>
    <row r="485" spans="1:50" x14ac:dyDescent="0.4">
      <c r="A485" s="1" t="str">
        <f t="shared" si="25"/>
        <v>人吉</v>
      </c>
      <c r="B485" s="1" t="str">
        <f>"犬童耳鼻咽喉科"</f>
        <v>犬童耳鼻咽喉科</v>
      </c>
      <c r="C485" s="1" t="str">
        <f>"868-0501"</f>
        <v>868-0501</v>
      </c>
      <c r="D485" s="1" t="s">
        <v>599</v>
      </c>
      <c r="E485" s="1" t="str">
        <f>"0966430777    "</f>
        <v xml:space="preserve">0966430777    </v>
      </c>
      <c r="F485" s="1" t="str">
        <f>"医療法人犬童会"</f>
        <v>医療法人犬童会</v>
      </c>
      <c r="G485" s="1" t="str">
        <f>"H17.01.01"</f>
        <v>H17.01.01</v>
      </c>
      <c r="H485" s="1" t="str">
        <f t="shared" si="24"/>
        <v>開設中</v>
      </c>
      <c r="I485" s="1">
        <v>0</v>
      </c>
      <c r="J485" s="1">
        <v>0</v>
      </c>
      <c r="K485" s="1">
        <v>0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>
        <v>1</v>
      </c>
      <c r="AP485" s="2">
        <v>1</v>
      </c>
      <c r="AQ485" s="2"/>
      <c r="AR485" s="2"/>
      <c r="AS485" s="2"/>
      <c r="AT485" s="2"/>
      <c r="AU485" s="2"/>
      <c r="AV485" s="2"/>
      <c r="AW485" s="2"/>
      <c r="AX485" s="1"/>
    </row>
    <row r="486" spans="1:50" x14ac:dyDescent="0.4">
      <c r="A486" s="1" t="str">
        <f t="shared" si="25"/>
        <v>人吉</v>
      </c>
      <c r="B486" s="1" t="str">
        <f>"特別養護老人ホームあずみ野"</f>
        <v>特別養護老人ホームあずみ野</v>
      </c>
      <c r="C486" s="1" t="str">
        <f>"868-0501"</f>
        <v>868-0501</v>
      </c>
      <c r="D486" s="1" t="s">
        <v>600</v>
      </c>
      <c r="E486" s="1" t="str">
        <f>"0966426400    "</f>
        <v xml:space="preserve">0966426400    </v>
      </c>
      <c r="F486" s="1" t="str">
        <f>"社会福祉法人多良木福祉会"</f>
        <v>社会福祉法人多良木福祉会</v>
      </c>
      <c r="G486" s="1" t="str">
        <f>"H09.04.01"</f>
        <v>H09.04.01</v>
      </c>
      <c r="H486" s="1" t="str">
        <f t="shared" si="24"/>
        <v>開設中</v>
      </c>
      <c r="I486" s="1">
        <v>0</v>
      </c>
      <c r="J486" s="1">
        <v>0</v>
      </c>
      <c r="K486" s="1">
        <v>0</v>
      </c>
      <c r="L486" s="2">
        <v>1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1"/>
    </row>
    <row r="487" spans="1:50" x14ac:dyDescent="0.4">
      <c r="A487" s="1" t="str">
        <f t="shared" si="25"/>
        <v>人吉</v>
      </c>
      <c r="B487" s="1" t="str">
        <f>"仁田畑クリニック"</f>
        <v>仁田畑クリニック</v>
      </c>
      <c r="C487" s="1" t="str">
        <f>"868-0501"</f>
        <v>868-0501</v>
      </c>
      <c r="D487" s="1" t="s">
        <v>601</v>
      </c>
      <c r="E487" s="1" t="str">
        <f>"0966421123    "</f>
        <v xml:space="preserve">0966421123    </v>
      </c>
      <c r="F487" s="1" t="str">
        <f>"医療法人社団仁田畑クリニック"</f>
        <v>医療法人社団仁田畑クリニック</v>
      </c>
      <c r="G487" s="1" t="str">
        <f>"H11.10.01"</f>
        <v>H11.10.01</v>
      </c>
      <c r="H487" s="1" t="str">
        <f t="shared" si="24"/>
        <v>開設中</v>
      </c>
      <c r="I487" s="1">
        <v>0</v>
      </c>
      <c r="J487" s="1">
        <v>0</v>
      </c>
      <c r="K487" s="1">
        <v>0</v>
      </c>
      <c r="L487" s="2">
        <v>1</v>
      </c>
      <c r="M487" s="2"/>
      <c r="N487" s="2"/>
      <c r="O487" s="2"/>
      <c r="P487" s="2"/>
      <c r="Q487" s="2"/>
      <c r="R487" s="2"/>
      <c r="S487" s="2">
        <v>1</v>
      </c>
      <c r="T487" s="2"/>
      <c r="U487" s="2"/>
      <c r="V487" s="2"/>
      <c r="W487" s="2">
        <v>1</v>
      </c>
      <c r="X487" s="2">
        <v>1</v>
      </c>
      <c r="Y487" s="2">
        <v>1</v>
      </c>
      <c r="Z487" s="2"/>
      <c r="AA487" s="2"/>
      <c r="AB487" s="2"/>
      <c r="AC487" s="2"/>
      <c r="AD487" s="2"/>
      <c r="AE487" s="2"/>
      <c r="AF487" s="2"/>
      <c r="AG487" s="2">
        <v>1</v>
      </c>
      <c r="AH487" s="2"/>
      <c r="AI487" s="2">
        <v>1</v>
      </c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>
        <v>1</v>
      </c>
      <c r="AX487" s="1"/>
    </row>
    <row r="488" spans="1:50" x14ac:dyDescent="0.4">
      <c r="A488" s="1" t="str">
        <f t="shared" si="25"/>
        <v>人吉</v>
      </c>
      <c r="B488" s="1" t="str">
        <f>"宮原医院"</f>
        <v>宮原医院</v>
      </c>
      <c r="C488" s="1" t="str">
        <f>"868-0501"</f>
        <v>868-0501</v>
      </c>
      <c r="D488" s="1" t="s">
        <v>602</v>
      </c>
      <c r="E488" s="1" t="str">
        <f>"0966422082    "</f>
        <v xml:space="preserve">0966422082    </v>
      </c>
      <c r="F488" s="1" t="str">
        <f>"医療法人健正会宮原医院"</f>
        <v>医療法人健正会宮原医院</v>
      </c>
      <c r="G488" s="1" t="str">
        <f>"H06.02.01"</f>
        <v>H06.02.01</v>
      </c>
      <c r="H488" s="1" t="str">
        <f t="shared" si="24"/>
        <v>開設中</v>
      </c>
      <c r="I488" s="1">
        <v>0</v>
      </c>
      <c r="J488" s="1">
        <v>0</v>
      </c>
      <c r="K488" s="1">
        <v>0</v>
      </c>
      <c r="L488" s="2">
        <v>1</v>
      </c>
      <c r="M488" s="2"/>
      <c r="N488" s="2"/>
      <c r="O488" s="2"/>
      <c r="P488" s="2"/>
      <c r="Q488" s="2"/>
      <c r="R488" s="2"/>
      <c r="S488" s="2"/>
      <c r="T488" s="2"/>
      <c r="U488" s="2"/>
      <c r="V488" s="2">
        <v>1</v>
      </c>
      <c r="W488" s="2"/>
      <c r="X488" s="2"/>
      <c r="Y488" s="2">
        <v>1</v>
      </c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>
        <v>1</v>
      </c>
      <c r="AR488" s="2"/>
      <c r="AS488" s="2"/>
      <c r="AT488" s="2"/>
      <c r="AU488" s="2"/>
      <c r="AV488" s="2"/>
      <c r="AW488" s="2"/>
      <c r="AX488" s="1"/>
    </row>
    <row r="489" spans="1:50" x14ac:dyDescent="0.4">
      <c r="A489" s="1" t="str">
        <f t="shared" si="25"/>
        <v>人吉</v>
      </c>
      <c r="B489" s="1" t="str">
        <f>"横山医院"</f>
        <v>横山医院</v>
      </c>
      <c r="C489" s="1" t="str">
        <f>"868-0502"</f>
        <v>868-0502</v>
      </c>
      <c r="D489" s="1" t="s">
        <v>603</v>
      </c>
      <c r="E489" s="1" t="str">
        <f>"0966422132    "</f>
        <v xml:space="preserve">0966422132    </v>
      </c>
      <c r="F489" s="1" t="str">
        <f>"横山武春"</f>
        <v>横山武春</v>
      </c>
      <c r="G489" s="1" t="str">
        <f>"H15.01.01"</f>
        <v>H15.01.01</v>
      </c>
      <c r="H489" s="1" t="str">
        <f t="shared" si="24"/>
        <v>開設中</v>
      </c>
      <c r="I489" s="1">
        <v>0</v>
      </c>
      <c r="J489" s="1">
        <v>0</v>
      </c>
      <c r="K489" s="1">
        <v>0</v>
      </c>
      <c r="L489" s="2">
        <v>1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>
        <v>1</v>
      </c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1"/>
    </row>
    <row r="490" spans="1:50" x14ac:dyDescent="0.4">
      <c r="A490" s="1" t="str">
        <f t="shared" si="25"/>
        <v>人吉</v>
      </c>
      <c r="B490" s="1" t="str">
        <f>"渡辺医院"</f>
        <v>渡辺医院</v>
      </c>
      <c r="C490" s="1" t="str">
        <f>"868-0501"</f>
        <v>868-0501</v>
      </c>
      <c r="D490" s="1" t="s">
        <v>604</v>
      </c>
      <c r="E490" s="1" t="str">
        <f>"0966422541    "</f>
        <v xml:space="preserve">0966422541    </v>
      </c>
      <c r="F490" s="1" t="str">
        <f>"渡辺英明"</f>
        <v>渡辺英明</v>
      </c>
      <c r="G490" s="1" t="str">
        <f>"H16.01.01"</f>
        <v>H16.01.01</v>
      </c>
      <c r="H490" s="1" t="str">
        <f t="shared" si="24"/>
        <v>開設中</v>
      </c>
      <c r="I490" s="1">
        <v>0</v>
      </c>
      <c r="J490" s="1">
        <v>0</v>
      </c>
      <c r="K490" s="1">
        <v>0</v>
      </c>
      <c r="L490" s="2">
        <v>1</v>
      </c>
      <c r="M490" s="2"/>
      <c r="N490" s="2"/>
      <c r="O490" s="2"/>
      <c r="P490" s="2"/>
      <c r="Q490" s="2"/>
      <c r="R490" s="2"/>
      <c r="S490" s="2">
        <v>1</v>
      </c>
      <c r="T490" s="2"/>
      <c r="U490" s="2"/>
      <c r="V490" s="2"/>
      <c r="W490" s="2"/>
      <c r="X490" s="2">
        <v>1</v>
      </c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1"/>
    </row>
    <row r="491" spans="1:50" x14ac:dyDescent="0.4">
      <c r="A491" s="1" t="str">
        <f t="shared" si="25"/>
        <v>人吉</v>
      </c>
      <c r="B491" s="1" t="str">
        <f>"そのだ医院"</f>
        <v>そのだ医院</v>
      </c>
      <c r="C491" s="1" t="str">
        <f>"868-0600"</f>
        <v>868-0600</v>
      </c>
      <c r="D491" s="1" t="s">
        <v>605</v>
      </c>
      <c r="E491" s="1" t="str">
        <f>"0966432063    "</f>
        <v xml:space="preserve">0966432063    </v>
      </c>
      <c r="F491" s="1" t="str">
        <f>"医療法人八紘会"</f>
        <v>医療法人八紘会</v>
      </c>
      <c r="G491" s="1" t="str">
        <f>"H05.08.01"</f>
        <v>H05.08.01</v>
      </c>
      <c r="H491" s="1" t="str">
        <f t="shared" si="24"/>
        <v>開設中</v>
      </c>
      <c r="I491" s="1">
        <v>0</v>
      </c>
      <c r="J491" s="1">
        <v>0</v>
      </c>
      <c r="K491" s="1">
        <v>0</v>
      </c>
      <c r="L491" s="2">
        <v>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>
        <v>1</v>
      </c>
      <c r="Y491" s="2">
        <v>1</v>
      </c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1"/>
    </row>
    <row r="492" spans="1:50" x14ac:dyDescent="0.4">
      <c r="A492" s="1" t="str">
        <f t="shared" si="25"/>
        <v>人吉</v>
      </c>
      <c r="B492" s="1" t="str">
        <f>"特別養護老人ホーム桜の里医務室"</f>
        <v>特別養護老人ホーム桜の里医務室</v>
      </c>
      <c r="C492" s="1" t="str">
        <f>"868-0701"</f>
        <v>868-0701</v>
      </c>
      <c r="D492" s="1" t="s">
        <v>606</v>
      </c>
      <c r="E492" s="1" t="str">
        <f>"0966440770    "</f>
        <v xml:space="preserve">0966440770    </v>
      </c>
      <c r="F492" s="1" t="str">
        <f>"社会福祉法人御薬園"</f>
        <v>社会福祉法人御薬園</v>
      </c>
      <c r="G492" s="1" t="str">
        <f>"H15.04.01"</f>
        <v>H15.04.01</v>
      </c>
      <c r="H492" s="1" t="str">
        <f t="shared" si="24"/>
        <v>開設中</v>
      </c>
      <c r="I492" s="1">
        <v>0</v>
      </c>
      <c r="J492" s="1">
        <v>0</v>
      </c>
      <c r="K492" s="1">
        <v>0</v>
      </c>
      <c r="L492" s="2">
        <v>1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>
        <v>1</v>
      </c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1"/>
    </row>
    <row r="493" spans="1:50" x14ac:dyDescent="0.4">
      <c r="A493" s="1" t="str">
        <f t="shared" si="25"/>
        <v>人吉</v>
      </c>
      <c r="B493" s="1" t="str">
        <f>"古屋敷診療所"</f>
        <v>古屋敷診療所</v>
      </c>
      <c r="C493" s="1" t="str">
        <f>"868-0702"</f>
        <v>868-0702</v>
      </c>
      <c r="D493" s="1" t="s">
        <v>607</v>
      </c>
      <c r="E493" s="1" t="str">
        <f>"0966461016    "</f>
        <v xml:space="preserve">0966461016    </v>
      </c>
      <c r="F493" s="1" t="str">
        <f>"水上村"</f>
        <v>水上村</v>
      </c>
      <c r="G493" s="1" t="str">
        <f>"H01.05.01"</f>
        <v>H01.05.01</v>
      </c>
      <c r="H493" s="1" t="str">
        <f t="shared" si="24"/>
        <v>開設中</v>
      </c>
      <c r="I493" s="1">
        <v>0</v>
      </c>
      <c r="J493" s="1">
        <v>0</v>
      </c>
      <c r="K493" s="1">
        <v>0</v>
      </c>
      <c r="L493" s="2">
        <v>1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>
        <v>1</v>
      </c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1"/>
    </row>
    <row r="494" spans="1:50" x14ac:dyDescent="0.4">
      <c r="A494" s="1" t="str">
        <f t="shared" si="25"/>
        <v>人吉</v>
      </c>
      <c r="B494" s="1" t="str">
        <f>"権頭医院"</f>
        <v>権頭医院</v>
      </c>
      <c r="C494" s="1" t="str">
        <f>"868-0101"</f>
        <v>868-0101</v>
      </c>
      <c r="D494" s="1" t="s">
        <v>608</v>
      </c>
      <c r="E494" s="1" t="str">
        <f>"0966360008    "</f>
        <v xml:space="preserve">0966360008    </v>
      </c>
      <c r="F494" s="1" t="str">
        <f>"権頭　　博"</f>
        <v>権頭　　博</v>
      </c>
      <c r="G494" s="1" t="str">
        <f>"S63.07.01"</f>
        <v>S63.07.01</v>
      </c>
      <c r="H494" s="1" t="str">
        <f t="shared" si="24"/>
        <v>開設中</v>
      </c>
      <c r="I494" s="1">
        <v>0</v>
      </c>
      <c r="J494" s="1">
        <v>0</v>
      </c>
      <c r="K494" s="1">
        <v>0</v>
      </c>
      <c r="L494" s="2">
        <v>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>
        <v>1</v>
      </c>
      <c r="X494" s="2">
        <v>1</v>
      </c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1"/>
    </row>
    <row r="495" spans="1:50" x14ac:dyDescent="0.4">
      <c r="A495" s="1" t="str">
        <f t="shared" si="25"/>
        <v>人吉</v>
      </c>
      <c r="B495" s="1" t="str">
        <f>"特別養護老人ホーム川辺川園医務室"</f>
        <v>特別養護老人ホーム川辺川園医務室</v>
      </c>
      <c r="C495" s="1" t="str">
        <f>"868-0093"</f>
        <v>868-0093</v>
      </c>
      <c r="D495" s="1" t="s">
        <v>609</v>
      </c>
      <c r="E495" s="1" t="str">
        <f>"0966350861    "</f>
        <v xml:space="preserve">0966350861    </v>
      </c>
      <c r="F495" s="1" t="str">
        <f>"社会福祉法人ペートル会"</f>
        <v>社会福祉法人ペートル会</v>
      </c>
      <c r="G495" s="1" t="str">
        <f>"S60.04.01"</f>
        <v>S60.04.01</v>
      </c>
      <c r="H495" s="1" t="str">
        <f t="shared" si="24"/>
        <v>開設中</v>
      </c>
      <c r="I495" s="1">
        <v>0</v>
      </c>
      <c r="J495" s="1">
        <v>0</v>
      </c>
      <c r="K495" s="1">
        <v>0</v>
      </c>
      <c r="L495" s="2">
        <v>1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1"/>
    </row>
    <row r="496" spans="1:50" x14ac:dyDescent="0.4">
      <c r="A496" s="1" t="str">
        <f t="shared" si="25"/>
        <v>人吉</v>
      </c>
      <c r="B496" s="1" t="str">
        <f>"五木村診療所"</f>
        <v>五木村診療所</v>
      </c>
      <c r="C496" s="1" t="str">
        <f>"868-0201"</f>
        <v>868-0201</v>
      </c>
      <c r="D496" s="1" t="s">
        <v>610</v>
      </c>
      <c r="E496" s="1" t="str">
        <f>"0966372008    "</f>
        <v xml:space="preserve">0966372008    </v>
      </c>
      <c r="F496" s="1" t="str">
        <f>"五木村"</f>
        <v>五木村</v>
      </c>
      <c r="G496" s="1" t="str">
        <f>"H14.04.01"</f>
        <v>H14.04.01</v>
      </c>
      <c r="H496" s="1" t="str">
        <f t="shared" si="24"/>
        <v>開設中</v>
      </c>
      <c r="I496" s="1">
        <v>0</v>
      </c>
      <c r="J496" s="1">
        <v>0</v>
      </c>
      <c r="K496" s="1">
        <v>0</v>
      </c>
      <c r="L496" s="2">
        <v>1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>
        <v>1</v>
      </c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>
        <v>1</v>
      </c>
      <c r="AT496" s="2"/>
      <c r="AU496" s="2"/>
      <c r="AV496" s="2"/>
      <c r="AW496" s="2"/>
      <c r="AX496" s="1"/>
    </row>
    <row r="497" spans="1:50" s="7" customFormat="1" x14ac:dyDescent="0.4">
      <c r="A497" s="5" t="str">
        <f t="shared" si="25"/>
        <v>人吉</v>
      </c>
      <c r="B497" s="5" t="str">
        <f>"医療法人朝日野会球磨村診療所"</f>
        <v>医療法人朝日野会球磨村診療所</v>
      </c>
      <c r="C497" s="5" t="str">
        <f>"869-6403"</f>
        <v>869-6403</v>
      </c>
      <c r="D497" s="5" t="s">
        <v>611</v>
      </c>
      <c r="E497" s="5" t="str">
        <f>"0966320377    "</f>
        <v xml:space="preserve">0966320377    </v>
      </c>
      <c r="F497" s="5" t="str">
        <f>"医療法人朝日野会"</f>
        <v>医療法人朝日野会</v>
      </c>
      <c r="G497" s="5" t="str">
        <f>"H10.12.14"</f>
        <v>H10.12.14</v>
      </c>
      <c r="H497" s="5" t="str">
        <f t="shared" si="24"/>
        <v>開設中</v>
      </c>
      <c r="I497" s="5">
        <v>0</v>
      </c>
      <c r="J497" s="5">
        <v>0</v>
      </c>
      <c r="K497" s="5">
        <v>0</v>
      </c>
      <c r="L497" s="6">
        <v>1</v>
      </c>
      <c r="M497" s="6"/>
      <c r="N497" s="6"/>
      <c r="O497" s="6"/>
      <c r="P497" s="6"/>
      <c r="Q497" s="6"/>
      <c r="R497" s="6">
        <v>1</v>
      </c>
      <c r="S497" s="6">
        <v>1</v>
      </c>
      <c r="T497" s="6"/>
      <c r="U497" s="6"/>
      <c r="V497" s="6"/>
      <c r="W497" s="6">
        <v>1</v>
      </c>
      <c r="X497" s="6">
        <v>1</v>
      </c>
      <c r="Y497" s="6"/>
      <c r="Z497" s="6"/>
      <c r="AA497" s="6"/>
      <c r="AB497" s="6"/>
      <c r="AC497" s="6"/>
      <c r="AD497" s="6"/>
      <c r="AE497" s="6"/>
      <c r="AF497" s="6"/>
      <c r="AG497" s="6"/>
      <c r="AH497" s="6">
        <v>1</v>
      </c>
      <c r="AI497" s="6">
        <v>1</v>
      </c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5"/>
    </row>
    <row r="498" spans="1:50" x14ac:dyDescent="0.4">
      <c r="A498" s="1" t="str">
        <f t="shared" si="25"/>
        <v>人吉</v>
      </c>
      <c r="B498" s="1" t="str">
        <f>"岩井クリニック"</f>
        <v>岩井クリニック</v>
      </c>
      <c r="C498" s="1" t="str">
        <f>"868-0442"</f>
        <v>868-0442</v>
      </c>
      <c r="D498" s="1" t="s">
        <v>612</v>
      </c>
      <c r="E498" s="1" t="str">
        <f>"0966492181    "</f>
        <v xml:space="preserve">0966492181    </v>
      </c>
      <c r="F498" s="1" t="str">
        <f>"医療法人　弘顯会"</f>
        <v>医療法人　弘顯会</v>
      </c>
      <c r="G498" s="1" t="str">
        <f>"H17.09.01"</f>
        <v>H17.09.01</v>
      </c>
      <c r="H498" s="1" t="str">
        <f t="shared" si="24"/>
        <v>開設中</v>
      </c>
      <c r="I498" s="1">
        <v>0</v>
      </c>
      <c r="J498" s="1">
        <v>0</v>
      </c>
      <c r="K498" s="1">
        <v>0</v>
      </c>
      <c r="L498" s="2">
        <v>1</v>
      </c>
      <c r="M498" s="2"/>
      <c r="N498" s="2"/>
      <c r="O498" s="2"/>
      <c r="P498" s="2"/>
      <c r="Q498" s="2"/>
      <c r="R498" s="2"/>
      <c r="S498" s="2">
        <v>1</v>
      </c>
      <c r="T498" s="2"/>
      <c r="U498" s="2"/>
      <c r="V498" s="2"/>
      <c r="W498" s="2"/>
      <c r="X498" s="2">
        <v>1</v>
      </c>
      <c r="Y498" s="2"/>
      <c r="Z498" s="2"/>
      <c r="AA498" s="2"/>
      <c r="AB498" s="2"/>
      <c r="AC498" s="2"/>
      <c r="AD498" s="2"/>
      <c r="AE498" s="2"/>
      <c r="AF498" s="2"/>
      <c r="AG498" s="2">
        <v>1</v>
      </c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1"/>
    </row>
    <row r="499" spans="1:50" x14ac:dyDescent="0.4">
      <c r="A499" s="1" t="str">
        <f t="shared" si="25"/>
        <v>人吉</v>
      </c>
      <c r="B499" s="1" t="str">
        <f>"田中医院"</f>
        <v>田中医院</v>
      </c>
      <c r="C499" s="1" t="str">
        <f>"868-0025"</f>
        <v>868-0025</v>
      </c>
      <c r="D499" s="1" t="s">
        <v>613</v>
      </c>
      <c r="E499" s="1" t="str">
        <f>"0966246127    "</f>
        <v xml:space="preserve">0966246127    </v>
      </c>
      <c r="F499" s="1" t="str">
        <f>"田中洋一"</f>
        <v>田中洋一</v>
      </c>
      <c r="G499" s="1" t="str">
        <f>"H18.04.14"</f>
        <v>H18.04.14</v>
      </c>
      <c r="H499" s="1" t="str">
        <f t="shared" si="24"/>
        <v>開設中</v>
      </c>
      <c r="I499" s="1">
        <v>0</v>
      </c>
      <c r="J499" s="1">
        <v>0</v>
      </c>
      <c r="K499" s="1">
        <v>0</v>
      </c>
      <c r="L499" s="2">
        <v>1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1"/>
    </row>
    <row r="500" spans="1:50" x14ac:dyDescent="0.4">
      <c r="A500" s="1" t="str">
        <f t="shared" si="25"/>
        <v>人吉</v>
      </c>
      <c r="B500" s="1" t="str">
        <f>"とやまクリニック胃腸科肛門科"</f>
        <v>とやまクリニック胃腸科肛門科</v>
      </c>
      <c r="C500" s="1" t="str">
        <f>"868-0011"</f>
        <v>868-0011</v>
      </c>
      <c r="D500" s="1" t="s">
        <v>614</v>
      </c>
      <c r="E500" s="1" t="str">
        <f>"0966283375    "</f>
        <v xml:space="preserve">0966283375    </v>
      </c>
      <c r="F500" s="1" t="str">
        <f>"医療法人社団とやまクリニック"</f>
        <v>医療法人社団とやまクリニック</v>
      </c>
      <c r="G500" s="1" t="str">
        <f>"H19.05.01"</f>
        <v>H19.05.01</v>
      </c>
      <c r="H500" s="1" t="str">
        <f t="shared" si="24"/>
        <v>開設中</v>
      </c>
      <c r="I500" s="1">
        <v>0</v>
      </c>
      <c r="J500" s="1">
        <v>0</v>
      </c>
      <c r="K500" s="1">
        <v>0</v>
      </c>
      <c r="L500" s="2">
        <v>1</v>
      </c>
      <c r="M500" s="2"/>
      <c r="N500" s="2"/>
      <c r="O500" s="2"/>
      <c r="P500" s="2"/>
      <c r="Q500" s="2"/>
      <c r="R500" s="2"/>
      <c r="S500" s="2">
        <v>1</v>
      </c>
      <c r="T500" s="2"/>
      <c r="U500" s="2"/>
      <c r="V500" s="2"/>
      <c r="W500" s="2"/>
      <c r="X500" s="2">
        <v>1</v>
      </c>
      <c r="Y500" s="2"/>
      <c r="Z500" s="2"/>
      <c r="AA500" s="2"/>
      <c r="AB500" s="2"/>
      <c r="AC500" s="2"/>
      <c r="AD500" s="2"/>
      <c r="AE500" s="2"/>
      <c r="AF500" s="2"/>
      <c r="AG500" s="2">
        <v>1</v>
      </c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1"/>
    </row>
    <row r="501" spans="1:50" x14ac:dyDescent="0.4">
      <c r="A501" s="1" t="str">
        <f t="shared" si="25"/>
        <v>人吉</v>
      </c>
      <c r="B501" s="1" t="str">
        <f>"酒瀬川内科"</f>
        <v>酒瀬川内科</v>
      </c>
      <c r="C501" s="1" t="str">
        <f>"868-0303"</f>
        <v>868-0303</v>
      </c>
      <c r="D501" s="1" t="s">
        <v>615</v>
      </c>
      <c r="E501" s="1" t="str">
        <f>"0966380050    "</f>
        <v xml:space="preserve">0966380050    </v>
      </c>
      <c r="F501" s="1" t="str">
        <f>"医療法人みずほ会"</f>
        <v>医療法人みずほ会</v>
      </c>
      <c r="G501" s="1" t="str">
        <f>"H20.11.01"</f>
        <v>H20.11.01</v>
      </c>
      <c r="H501" s="1" t="str">
        <f t="shared" si="24"/>
        <v>開設中</v>
      </c>
      <c r="I501" s="1">
        <v>0</v>
      </c>
      <c r="J501" s="1">
        <v>0</v>
      </c>
      <c r="K501" s="1">
        <v>0</v>
      </c>
      <c r="L501" s="2">
        <v>1</v>
      </c>
      <c r="M501" s="2"/>
      <c r="N501" s="2"/>
      <c r="O501" s="2"/>
      <c r="P501" s="2"/>
      <c r="Q501" s="2">
        <v>1</v>
      </c>
      <c r="R501" s="2"/>
      <c r="S501" s="2"/>
      <c r="T501" s="2">
        <v>1</v>
      </c>
      <c r="U501" s="2"/>
      <c r="V501" s="2"/>
      <c r="W501" s="2">
        <v>1</v>
      </c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1"/>
    </row>
    <row r="502" spans="1:50" x14ac:dyDescent="0.4">
      <c r="A502" s="1" t="str">
        <f t="shared" si="25"/>
        <v>人吉</v>
      </c>
      <c r="B502" s="1" t="str">
        <f>"医療法人仙寿会緒方医院"</f>
        <v>医療法人仙寿会緒方医院</v>
      </c>
      <c r="C502" s="1" t="str">
        <f>"868-0093"</f>
        <v>868-0093</v>
      </c>
      <c r="D502" s="1" t="s">
        <v>616</v>
      </c>
      <c r="E502" s="1" t="str">
        <f>"0966350131    "</f>
        <v xml:space="preserve">0966350131    </v>
      </c>
      <c r="F502" s="1" t="str">
        <f>"医療法人仙寿会"</f>
        <v>医療法人仙寿会</v>
      </c>
      <c r="G502" s="1" t="str">
        <f>"H22.01.01"</f>
        <v>H22.01.01</v>
      </c>
      <c r="H502" s="1" t="str">
        <f t="shared" si="24"/>
        <v>開設中</v>
      </c>
      <c r="I502" s="1">
        <v>0</v>
      </c>
      <c r="J502" s="1">
        <v>0</v>
      </c>
      <c r="K502" s="1">
        <v>0</v>
      </c>
      <c r="L502" s="2">
        <v>1</v>
      </c>
      <c r="M502" s="2"/>
      <c r="N502" s="2"/>
      <c r="O502" s="2"/>
      <c r="P502" s="2"/>
      <c r="Q502" s="2"/>
      <c r="R502" s="2">
        <v>1</v>
      </c>
      <c r="S502" s="2">
        <v>1</v>
      </c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1"/>
    </row>
    <row r="503" spans="1:50" x14ac:dyDescent="0.4">
      <c r="A503" s="1" t="str">
        <f t="shared" si="25"/>
        <v>人吉</v>
      </c>
      <c r="B503" s="1" t="str">
        <f>"人吉市養護老人ホーム延寿荘"</f>
        <v>人吉市養護老人ホーム延寿荘</v>
      </c>
      <c r="C503" s="1" t="str">
        <f>"868-0042"</f>
        <v>868-0042</v>
      </c>
      <c r="D503" s="1" t="s">
        <v>617</v>
      </c>
      <c r="E503" s="1" t="str">
        <f>"0966223417    "</f>
        <v xml:space="preserve">0966223417    </v>
      </c>
      <c r="F503" s="1" t="str">
        <f>"人吉市社会福祉事業団"</f>
        <v>人吉市社会福祉事業団</v>
      </c>
      <c r="G503" s="1" t="str">
        <f>"H22.04.01"</f>
        <v>H22.04.01</v>
      </c>
      <c r="H503" s="1" t="str">
        <f t="shared" si="24"/>
        <v>開設中</v>
      </c>
      <c r="I503" s="1">
        <v>0</v>
      </c>
      <c r="J503" s="1">
        <v>0</v>
      </c>
      <c r="K503" s="1">
        <v>0</v>
      </c>
      <c r="L503" s="2">
        <v>1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1"/>
    </row>
    <row r="504" spans="1:50" x14ac:dyDescent="0.4">
      <c r="A504" s="1" t="str">
        <f t="shared" si="25"/>
        <v>人吉</v>
      </c>
      <c r="B504" s="1" t="str">
        <f>"光永医院"</f>
        <v>光永医院</v>
      </c>
      <c r="C504" s="1" t="str">
        <f>"868-0025"</f>
        <v>868-0025</v>
      </c>
      <c r="D504" s="1" t="s">
        <v>618</v>
      </c>
      <c r="E504" s="1" t="str">
        <f>"0966222366    "</f>
        <v xml:space="preserve">0966222366    </v>
      </c>
      <c r="F504" s="1" t="str">
        <f>"医療法人光永医院"</f>
        <v>医療法人光永医院</v>
      </c>
      <c r="G504" s="1" t="str">
        <f>"H22.06.01"</f>
        <v>H22.06.01</v>
      </c>
      <c r="H504" s="1" t="str">
        <f t="shared" si="24"/>
        <v>開設中</v>
      </c>
      <c r="I504" s="1">
        <v>13</v>
      </c>
      <c r="J504" s="1">
        <v>13</v>
      </c>
      <c r="K504" s="1">
        <v>0</v>
      </c>
      <c r="L504" s="2">
        <v>1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1" t="s">
        <v>97</v>
      </c>
    </row>
    <row r="505" spans="1:50" x14ac:dyDescent="0.4">
      <c r="A505" s="1" t="str">
        <f t="shared" si="25"/>
        <v>人吉</v>
      </c>
      <c r="B505" s="1" t="str">
        <f>"脳神経外科　小林クリニック"</f>
        <v>脳神経外科　小林クリニック</v>
      </c>
      <c r="C505" s="1" t="str">
        <f>"868-0303"</f>
        <v>868-0303</v>
      </c>
      <c r="D505" s="1" t="s">
        <v>619</v>
      </c>
      <c r="E505" s="1" t="str">
        <f>"0966385670    "</f>
        <v xml:space="preserve">0966385670    </v>
      </c>
      <c r="F505" s="1" t="str">
        <f>"医療法人　佳朋会"</f>
        <v>医療法人　佳朋会</v>
      </c>
      <c r="G505" s="1" t="str">
        <f>"H22.10.01"</f>
        <v>H22.10.01</v>
      </c>
      <c r="H505" s="1" t="str">
        <f t="shared" si="24"/>
        <v>開設中</v>
      </c>
      <c r="I505" s="1">
        <v>0</v>
      </c>
      <c r="J505" s="1">
        <v>0</v>
      </c>
      <c r="K505" s="1">
        <v>0</v>
      </c>
      <c r="L505" s="2">
        <v>1</v>
      </c>
      <c r="M505" s="2"/>
      <c r="N505" s="2"/>
      <c r="O505" s="2"/>
      <c r="P505" s="2">
        <v>1</v>
      </c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>
        <v>1</v>
      </c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>
        <v>1</v>
      </c>
      <c r="AR505" s="2"/>
      <c r="AS505" s="2"/>
      <c r="AT505" s="2"/>
      <c r="AU505" s="2"/>
      <c r="AV505" s="2"/>
      <c r="AW505" s="2"/>
      <c r="AX505" s="1"/>
    </row>
    <row r="506" spans="1:50" x14ac:dyDescent="0.4">
      <c r="A506" s="1" t="str">
        <f t="shared" ref="A506:A520" si="26">"人吉"</f>
        <v>人吉</v>
      </c>
      <c r="B506" s="1" t="str">
        <f>"地域密着型介護老人福祉施設　錦寿豊苑"</f>
        <v>地域密着型介護老人福祉施設　錦寿豊苑</v>
      </c>
      <c r="C506" s="1" t="str">
        <f>"868-0302"</f>
        <v>868-0302</v>
      </c>
      <c r="D506" s="1" t="s">
        <v>620</v>
      </c>
      <c r="E506" s="1" t="str">
        <f>"0966383889    "</f>
        <v xml:space="preserve">0966383889    </v>
      </c>
      <c r="F506" s="1" t="str">
        <f>"社会福祉法人　豊心の里"</f>
        <v>社会福祉法人　豊心の里</v>
      </c>
      <c r="G506" s="1" t="str">
        <f>"H22.10.25"</f>
        <v>H22.10.25</v>
      </c>
      <c r="H506" s="1" t="str">
        <f t="shared" si="24"/>
        <v>開設中</v>
      </c>
      <c r="I506" s="1">
        <v>0</v>
      </c>
      <c r="J506" s="1">
        <v>0</v>
      </c>
      <c r="K506" s="1">
        <v>0</v>
      </c>
      <c r="L506" s="2">
        <v>1</v>
      </c>
      <c r="M506" s="2"/>
      <c r="N506" s="2">
        <v>1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1"/>
    </row>
    <row r="507" spans="1:50" x14ac:dyDescent="0.4">
      <c r="A507" s="1" t="str">
        <f t="shared" si="26"/>
        <v>人吉</v>
      </c>
      <c r="B507" s="1" t="str">
        <f>"介護老人福祉施設　りゅうきんか　医務室"</f>
        <v>介護老人福祉施設　りゅうきんか　医務室</v>
      </c>
      <c r="C507" s="1" t="str">
        <f>"868-0408"</f>
        <v>868-0408</v>
      </c>
      <c r="D507" s="1" t="s">
        <v>621</v>
      </c>
      <c r="E507" s="1" t="str">
        <f>"0966457551    "</f>
        <v xml:space="preserve">0966457551    </v>
      </c>
      <c r="F507" s="1" t="str">
        <f>"社会福祉法人　東陽会"</f>
        <v>社会福祉法人　東陽会</v>
      </c>
      <c r="G507" s="1" t="str">
        <f>"H23.06.01"</f>
        <v>H23.06.01</v>
      </c>
      <c r="H507" s="1" t="str">
        <f t="shared" si="24"/>
        <v>開設中</v>
      </c>
      <c r="I507" s="1">
        <v>0</v>
      </c>
      <c r="J507" s="1">
        <v>0</v>
      </c>
      <c r="K507" s="1">
        <v>0</v>
      </c>
      <c r="L507" s="2">
        <v>1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1"/>
    </row>
    <row r="508" spans="1:50" x14ac:dyDescent="0.4">
      <c r="A508" s="1" t="str">
        <f t="shared" si="26"/>
        <v>人吉</v>
      </c>
      <c r="B508" s="1" t="str">
        <f>"地域密着型特別養護老人ホームアゼリア医務室"</f>
        <v>地域密着型特別養護老人ホームアゼリア医務室</v>
      </c>
      <c r="C508" s="1" t="str">
        <f>"868-0042"</f>
        <v>868-0042</v>
      </c>
      <c r="D508" s="1" t="s">
        <v>622</v>
      </c>
      <c r="E508" s="1" t="str">
        <f>"0966329350    "</f>
        <v xml:space="preserve">0966329350    </v>
      </c>
      <c r="F508" s="1" t="str">
        <f>"回生会"</f>
        <v>回生会</v>
      </c>
      <c r="G508" s="1" t="str">
        <f>"H23.09.13"</f>
        <v>H23.09.13</v>
      </c>
      <c r="H508" s="1" t="str">
        <f t="shared" si="24"/>
        <v>開設中</v>
      </c>
      <c r="I508" s="1">
        <v>0</v>
      </c>
      <c r="J508" s="1">
        <v>0</v>
      </c>
      <c r="K508" s="1">
        <v>0</v>
      </c>
      <c r="L508" s="2">
        <v>1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1"/>
    </row>
    <row r="509" spans="1:50" x14ac:dyDescent="0.4">
      <c r="A509" s="1" t="str">
        <f t="shared" si="26"/>
        <v>人吉</v>
      </c>
      <c r="B509" s="1" t="str">
        <f>"ひとよし内科"</f>
        <v>ひとよし内科</v>
      </c>
      <c r="C509" s="1" t="str">
        <f>"868-0041"</f>
        <v>868-0041</v>
      </c>
      <c r="D509" s="1" t="s">
        <v>623</v>
      </c>
      <c r="E509" s="1" t="str">
        <f>"0966241211    "</f>
        <v xml:space="preserve">0966241211    </v>
      </c>
      <c r="F509" s="1" t="str">
        <f>"医療法人社団　健成会"</f>
        <v>医療法人社団　健成会</v>
      </c>
      <c r="G509" s="1" t="str">
        <f>"H24.03.21"</f>
        <v>H24.03.21</v>
      </c>
      <c r="H509" s="1" t="str">
        <f t="shared" si="24"/>
        <v>開設中</v>
      </c>
      <c r="I509" s="1">
        <v>2</v>
      </c>
      <c r="J509" s="1">
        <v>2</v>
      </c>
      <c r="K509" s="1">
        <v>0</v>
      </c>
      <c r="L509" s="2">
        <v>1</v>
      </c>
      <c r="M509" s="2"/>
      <c r="N509" s="2"/>
      <c r="O509" s="2"/>
      <c r="P509" s="2"/>
      <c r="Q509" s="2">
        <v>1</v>
      </c>
      <c r="R509" s="2"/>
      <c r="S509" s="2">
        <v>1</v>
      </c>
      <c r="T509" s="2">
        <v>1</v>
      </c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>
        <v>1</v>
      </c>
      <c r="AR509" s="2">
        <v>1</v>
      </c>
      <c r="AS509" s="2"/>
      <c r="AT509" s="2"/>
      <c r="AU509" s="2"/>
      <c r="AV509" s="2"/>
      <c r="AW509" s="2"/>
      <c r="AX509" s="1"/>
    </row>
    <row r="510" spans="1:50" x14ac:dyDescent="0.4">
      <c r="A510" s="1" t="str">
        <f t="shared" si="26"/>
        <v>人吉</v>
      </c>
      <c r="B510" s="1" t="str">
        <f>"古城クリニック"</f>
        <v>古城クリニック</v>
      </c>
      <c r="C510" s="1" t="str">
        <f>"868-0701"</f>
        <v>868-0701</v>
      </c>
      <c r="D510" s="1" t="s">
        <v>624</v>
      </c>
      <c r="E510" s="1" t="str">
        <f>"0966440321    "</f>
        <v xml:space="preserve">0966440321    </v>
      </c>
      <c r="F510" s="1" t="str">
        <f>"医療法人社団　同心会"</f>
        <v>医療法人社団　同心会</v>
      </c>
      <c r="G510" s="1" t="str">
        <f>"H26.02.12"</f>
        <v>H26.02.12</v>
      </c>
      <c r="H510" s="1" t="str">
        <f t="shared" si="24"/>
        <v>開設中</v>
      </c>
      <c r="I510" s="1">
        <v>0</v>
      </c>
      <c r="J510" s="1">
        <v>0</v>
      </c>
      <c r="K510" s="1">
        <v>0</v>
      </c>
      <c r="L510" s="2">
        <v>1</v>
      </c>
      <c r="M510" s="2"/>
      <c r="N510" s="2"/>
      <c r="O510" s="2"/>
      <c r="P510" s="2"/>
      <c r="Q510" s="2">
        <v>1</v>
      </c>
      <c r="R510" s="2">
        <v>1</v>
      </c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>
        <v>1</v>
      </c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1"/>
    </row>
    <row r="511" spans="1:50" x14ac:dyDescent="0.4">
      <c r="A511" s="1" t="str">
        <f t="shared" si="26"/>
        <v>人吉</v>
      </c>
      <c r="B511" s="1" t="str">
        <f>"三浦整形外科医院"</f>
        <v>三浦整形外科医院</v>
      </c>
      <c r="C511" s="1" t="str">
        <f>"868-0034"</f>
        <v>868-0034</v>
      </c>
      <c r="D511" s="1" t="s">
        <v>625</v>
      </c>
      <c r="E511" s="1" t="str">
        <f>"0966223401    "</f>
        <v xml:space="preserve">0966223401    </v>
      </c>
      <c r="F511" s="1" t="str">
        <f>"三浦　広典"</f>
        <v>三浦　広典</v>
      </c>
      <c r="G511" s="1" t="str">
        <f>"H27.03.20"</f>
        <v>H27.03.20</v>
      </c>
      <c r="H511" s="1" t="str">
        <f t="shared" si="24"/>
        <v>開設中</v>
      </c>
      <c r="I511" s="1">
        <v>0</v>
      </c>
      <c r="J511" s="1">
        <v>0</v>
      </c>
      <c r="K511" s="1">
        <v>0</v>
      </c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>
        <v>1</v>
      </c>
      <c r="W511" s="2"/>
      <c r="X511" s="2"/>
      <c r="Y511" s="2">
        <v>1</v>
      </c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>
        <v>1</v>
      </c>
      <c r="AR511" s="2"/>
      <c r="AS511" s="2"/>
      <c r="AT511" s="2"/>
      <c r="AU511" s="2"/>
      <c r="AV511" s="2"/>
      <c r="AW511" s="2"/>
      <c r="AX511" s="1"/>
    </row>
    <row r="512" spans="1:50" x14ac:dyDescent="0.4">
      <c r="A512" s="1" t="str">
        <f t="shared" si="26"/>
        <v>人吉</v>
      </c>
      <c r="B512" s="1" t="str">
        <f>"河野産婦人科医院"</f>
        <v>河野産婦人科医院</v>
      </c>
      <c r="C512" s="1" t="str">
        <f>"868-0013"</f>
        <v>868-0013</v>
      </c>
      <c r="D512" s="1" t="s">
        <v>626</v>
      </c>
      <c r="E512" s="1" t="str">
        <f>"0966243838    "</f>
        <v xml:space="preserve">0966243838    </v>
      </c>
      <c r="F512" s="1" t="str">
        <f>"医療法人つばめ"</f>
        <v>医療法人つばめ</v>
      </c>
      <c r="G512" s="1" t="str">
        <f>"H29.10.01"</f>
        <v>H29.10.01</v>
      </c>
      <c r="H512" s="1" t="str">
        <f t="shared" si="24"/>
        <v>開設中</v>
      </c>
      <c r="I512" s="1">
        <v>14</v>
      </c>
      <c r="J512" s="1">
        <v>14</v>
      </c>
      <c r="K512" s="1">
        <v>0</v>
      </c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>
        <v>1</v>
      </c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1"/>
    </row>
    <row r="513" spans="1:50" x14ac:dyDescent="0.4">
      <c r="A513" s="1" t="str">
        <f t="shared" si="26"/>
        <v>人吉</v>
      </c>
      <c r="B513" s="1" t="str">
        <f>"熊本県人吉保健所"</f>
        <v>熊本県人吉保健所</v>
      </c>
      <c r="C513" s="1" t="str">
        <f>"868-0072"</f>
        <v>868-0072</v>
      </c>
      <c r="D513" s="1" t="s">
        <v>627</v>
      </c>
      <c r="E513" s="1" t="str">
        <f>"0966221040    "</f>
        <v xml:space="preserve">0966221040    </v>
      </c>
      <c r="F513" s="1" t="str">
        <f>"熊本県"</f>
        <v>熊本県</v>
      </c>
      <c r="G513" s="1" t="str">
        <f>"H30.10.29"</f>
        <v>H30.10.29</v>
      </c>
      <c r="H513" s="1" t="str">
        <f t="shared" si="24"/>
        <v>開設中</v>
      </c>
      <c r="I513" s="1">
        <v>0</v>
      </c>
      <c r="J513" s="1">
        <v>0</v>
      </c>
      <c r="K513" s="1">
        <v>0</v>
      </c>
      <c r="L513" s="2">
        <v>1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1"/>
    </row>
    <row r="514" spans="1:50" x14ac:dyDescent="0.4">
      <c r="A514" s="1" t="str">
        <f t="shared" si="26"/>
        <v>人吉</v>
      </c>
      <c r="B514" s="1" t="str">
        <f>"上球磨クリニック"</f>
        <v>上球磨クリニック</v>
      </c>
      <c r="C514" s="1" t="str">
        <f>"868-0501"</f>
        <v>868-0501</v>
      </c>
      <c r="D514" s="1" t="s">
        <v>628</v>
      </c>
      <c r="E514" s="1" t="str">
        <f>"0966425868    "</f>
        <v xml:space="preserve">0966425868    </v>
      </c>
      <c r="F514" s="1" t="str">
        <f>"医療法人　一公会"</f>
        <v>医療法人　一公会</v>
      </c>
      <c r="G514" s="1" t="str">
        <f>"H31.01.01"</f>
        <v>H31.01.01</v>
      </c>
      <c r="H514" s="1" t="str">
        <f t="shared" si="24"/>
        <v>開設中</v>
      </c>
      <c r="I514" s="1">
        <v>0</v>
      </c>
      <c r="J514" s="1">
        <v>0</v>
      </c>
      <c r="K514" s="1">
        <v>0</v>
      </c>
      <c r="L514" s="2">
        <v>1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1" t="s">
        <v>62</v>
      </c>
    </row>
    <row r="515" spans="1:50" x14ac:dyDescent="0.4">
      <c r="A515" s="1" t="str">
        <f t="shared" si="26"/>
        <v>人吉</v>
      </c>
      <c r="B515" s="1" t="str">
        <f>"水上村診療所"</f>
        <v>水上村診療所</v>
      </c>
      <c r="C515" s="1" t="str">
        <f>"868-0701"</f>
        <v>868-0701</v>
      </c>
      <c r="D515" s="1" t="s">
        <v>629</v>
      </c>
      <c r="E515" s="1" t="str">
        <f>"0966440783    "</f>
        <v xml:space="preserve">0966440783    </v>
      </c>
      <c r="F515" s="1" t="str">
        <f>"熊本県球磨郡水上村"</f>
        <v>熊本県球磨郡水上村</v>
      </c>
      <c r="G515" s="1" t="str">
        <f>"R03.04.20"</f>
        <v>R03.04.20</v>
      </c>
      <c r="H515" s="1" t="str">
        <f t="shared" si="24"/>
        <v>開設中</v>
      </c>
      <c r="I515" s="1">
        <v>0</v>
      </c>
      <c r="J515" s="1">
        <v>0</v>
      </c>
      <c r="K515" s="1">
        <v>0</v>
      </c>
      <c r="L515" s="2">
        <v>1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1"/>
    </row>
    <row r="516" spans="1:50" x14ac:dyDescent="0.4">
      <c r="A516" s="1" t="str">
        <f t="shared" si="26"/>
        <v>人吉</v>
      </c>
      <c r="B516" s="1" t="str">
        <f>"湯前町保健センター"</f>
        <v>湯前町保健センター</v>
      </c>
      <c r="C516" s="1" t="str">
        <f>"868-0621"</f>
        <v>868-0621</v>
      </c>
      <c r="D516" s="1" t="s">
        <v>630</v>
      </c>
      <c r="E516" s="1" t="str">
        <f>"0966434111    "</f>
        <v xml:space="preserve">0966434111    </v>
      </c>
      <c r="F516" s="1" t="str">
        <f>"球磨郡湯前町"</f>
        <v>球磨郡湯前町</v>
      </c>
      <c r="G516" s="1" t="str">
        <f>"R03.04.01"</f>
        <v>R03.04.01</v>
      </c>
      <c r="H516" s="1" t="str">
        <f t="shared" si="24"/>
        <v>開設中</v>
      </c>
      <c r="I516" s="1">
        <v>0</v>
      </c>
      <c r="J516" s="1">
        <v>0</v>
      </c>
      <c r="K516" s="1">
        <v>0</v>
      </c>
      <c r="L516" s="2">
        <v>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1"/>
    </row>
    <row r="517" spans="1:50" x14ac:dyDescent="0.4">
      <c r="A517" s="1" t="str">
        <f t="shared" si="26"/>
        <v>人吉</v>
      </c>
      <c r="B517" s="1" t="str">
        <f>"愛甲産婦人科医院"</f>
        <v>愛甲産婦人科医院</v>
      </c>
      <c r="C517" s="1" t="str">
        <f>"868-0042"</f>
        <v>868-0042</v>
      </c>
      <c r="D517" s="1" t="s">
        <v>631</v>
      </c>
      <c r="E517" s="1" t="str">
        <f>"0966224020    "</f>
        <v xml:space="preserve">0966224020    </v>
      </c>
      <c r="F517" s="1" t="str">
        <f>"医療法人　和"</f>
        <v>医療法人　和</v>
      </c>
      <c r="G517" s="1" t="str">
        <f>"R06.01.17"</f>
        <v>R06.01.17</v>
      </c>
      <c r="H517" s="1" t="str">
        <f t="shared" si="24"/>
        <v>開設中</v>
      </c>
      <c r="I517" s="1">
        <v>19</v>
      </c>
      <c r="J517" s="1">
        <v>19</v>
      </c>
      <c r="K517" s="1">
        <v>0</v>
      </c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>
        <v>1</v>
      </c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1"/>
    </row>
    <row r="518" spans="1:50" x14ac:dyDescent="0.4">
      <c r="A518" s="1" t="str">
        <f t="shared" si="26"/>
        <v>人吉</v>
      </c>
      <c r="B518" s="1" t="str">
        <f>"エコチル調査・１２歳学童期検査・１０歳詳細調査健康診断所"</f>
        <v>エコチル調査・１２歳学童期検査・１０歳詳細調査健康診断所</v>
      </c>
      <c r="C518" s="1" t="str">
        <f>"868-0033"</f>
        <v>868-0033</v>
      </c>
      <c r="D518" s="1" t="s">
        <v>632</v>
      </c>
      <c r="E518" s="1" t="str">
        <f>"0963735112    "</f>
        <v xml:space="preserve">0963735112    </v>
      </c>
      <c r="F518" s="1" t="str">
        <f>"増田翔太"</f>
        <v>増田翔太</v>
      </c>
      <c r="G518" s="1" t="str">
        <f>"R05.07.01"</f>
        <v>R05.07.01</v>
      </c>
      <c r="H518" s="1" t="str">
        <f t="shared" si="24"/>
        <v>開設中</v>
      </c>
      <c r="I518" s="1">
        <v>0</v>
      </c>
      <c r="J518" s="1">
        <v>0</v>
      </c>
      <c r="K518" s="1">
        <v>0</v>
      </c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>
        <v>1</v>
      </c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1"/>
    </row>
    <row r="519" spans="1:50" x14ac:dyDescent="0.4">
      <c r="A519" s="1" t="str">
        <f t="shared" si="26"/>
        <v>人吉</v>
      </c>
      <c r="B519" s="1" t="str">
        <f>"特別養護老人ホーム千寿園医務室"</f>
        <v>特別養護老人ホーム千寿園医務室</v>
      </c>
      <c r="C519" s="1" t="str">
        <f>"869-6401"</f>
        <v>869-6401</v>
      </c>
      <c r="D519" s="1" t="s">
        <v>633</v>
      </c>
      <c r="E519" s="1" t="str">
        <f>"0966330101    "</f>
        <v xml:space="preserve">0966330101    </v>
      </c>
      <c r="F519" s="1" t="str">
        <f>"社会福祉法人　慈愛会"</f>
        <v>社会福祉法人　慈愛会</v>
      </c>
      <c r="G519" s="1" t="str">
        <f>"R06.01.28"</f>
        <v>R06.01.28</v>
      </c>
      <c r="H519" s="1" t="str">
        <f t="shared" si="24"/>
        <v>開設中</v>
      </c>
      <c r="I519" s="1">
        <v>0</v>
      </c>
      <c r="J519" s="1">
        <v>0</v>
      </c>
      <c r="K519" s="1">
        <v>0</v>
      </c>
      <c r="L519" s="2">
        <v>1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1"/>
    </row>
    <row r="520" spans="1:50" x14ac:dyDescent="0.4">
      <c r="A520" s="1" t="str">
        <f t="shared" si="26"/>
        <v>人吉</v>
      </c>
      <c r="B520" s="1" t="str">
        <f>"ひとよし　西村醫院"</f>
        <v>ひとよし　西村醫院</v>
      </c>
      <c r="C520" s="1" t="str">
        <f>"868-0043"</f>
        <v>868-0043</v>
      </c>
      <c r="D520" s="1" t="s">
        <v>634</v>
      </c>
      <c r="E520" s="1" t="str">
        <f>"0966328290    "</f>
        <v xml:space="preserve">0966328290    </v>
      </c>
      <c r="F520" s="1" t="str">
        <f>"西村　卓?"</f>
        <v>西村　卓?</v>
      </c>
      <c r="G520" s="1" t="str">
        <f>"R06.03.08"</f>
        <v>R06.03.08</v>
      </c>
      <c r="H520" s="1" t="str">
        <f t="shared" si="24"/>
        <v>開設中</v>
      </c>
      <c r="I520" s="1">
        <v>0</v>
      </c>
      <c r="J520" s="1">
        <v>0</v>
      </c>
      <c r="K520" s="1">
        <v>0</v>
      </c>
      <c r="L520" s="2">
        <v>1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>
        <v>1</v>
      </c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>
        <v>1</v>
      </c>
      <c r="AX520" s="1" t="s">
        <v>98</v>
      </c>
    </row>
    <row r="521" spans="1:50" x14ac:dyDescent="0.4">
      <c r="A521" s="1" t="str">
        <f t="shared" ref="A521:A552" si="27">"有明"</f>
        <v>有明</v>
      </c>
      <c r="B521" s="1" t="str">
        <f>"和水クリニック"</f>
        <v>和水クリニック</v>
      </c>
      <c r="C521" s="1" t="str">
        <f>"865-0124"</f>
        <v>865-0124</v>
      </c>
      <c r="D521" s="1" t="s">
        <v>635</v>
      </c>
      <c r="E521" s="1" t="str">
        <f>"0968866001    "</f>
        <v xml:space="preserve">0968866001    </v>
      </c>
      <c r="F521" s="1" t="str">
        <f>"毛利　友彦"</f>
        <v>毛利　友彦</v>
      </c>
      <c r="G521" s="1" t="str">
        <f>"R02.07.01"</f>
        <v>R02.07.01</v>
      </c>
      <c r="H521" s="1" t="str">
        <f t="shared" ref="H521:H539" si="28">"開設中"</f>
        <v>開設中</v>
      </c>
      <c r="I521" s="1">
        <v>0</v>
      </c>
      <c r="J521" s="1">
        <v>0</v>
      </c>
      <c r="K521" s="1">
        <v>0</v>
      </c>
      <c r="L521" s="2">
        <v>1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1"/>
    </row>
    <row r="522" spans="1:50" x14ac:dyDescent="0.4">
      <c r="A522" s="1" t="str">
        <f t="shared" si="27"/>
        <v>有明</v>
      </c>
      <c r="B522" s="1" t="str">
        <f>"特別養護老人ホーム延寿荘"</f>
        <v>特別養護老人ホーム延寿荘</v>
      </c>
      <c r="C522" s="1" t="str">
        <f>"861-0811"</f>
        <v>861-0811</v>
      </c>
      <c r="D522" s="1" t="s">
        <v>636</v>
      </c>
      <c r="E522" s="1" t="str">
        <f>"0968530934    "</f>
        <v xml:space="preserve">0968530934    </v>
      </c>
      <c r="F522" s="1" t="str">
        <f>"社会福祉法人　三加和福祉会"</f>
        <v>社会福祉法人　三加和福祉会</v>
      </c>
      <c r="G522" s="1" t="str">
        <f>"R04.05.23"</f>
        <v>R04.05.23</v>
      </c>
      <c r="H522" s="1" t="str">
        <f t="shared" si="28"/>
        <v>開設中</v>
      </c>
      <c r="I522" s="1">
        <v>0</v>
      </c>
      <c r="J522" s="1">
        <v>0</v>
      </c>
      <c r="K522" s="1">
        <v>0</v>
      </c>
      <c r="L522" s="2">
        <v>1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1"/>
    </row>
    <row r="523" spans="1:50" x14ac:dyDescent="0.4">
      <c r="A523" s="1" t="str">
        <f t="shared" si="27"/>
        <v>有明</v>
      </c>
      <c r="B523" s="1" t="str">
        <f>"ハビリス白千鳥クリニック"</f>
        <v>ハビリス白千鳥クリニック</v>
      </c>
      <c r="C523" s="1" t="str">
        <f>"864-0027"</f>
        <v>864-0027</v>
      </c>
      <c r="D523" s="1" t="s">
        <v>637</v>
      </c>
      <c r="E523" s="1" t="str">
        <f>"0968577209    "</f>
        <v xml:space="preserve">0968577209    </v>
      </c>
      <c r="F523" s="1" t="str">
        <f>"医療法人鴻恩会"</f>
        <v>医療法人鴻恩会</v>
      </c>
      <c r="G523" s="1" t="str">
        <f>"R05.08.01"</f>
        <v>R05.08.01</v>
      </c>
      <c r="H523" s="1" t="str">
        <f t="shared" si="28"/>
        <v>開設中</v>
      </c>
      <c r="I523" s="1">
        <v>18</v>
      </c>
      <c r="J523" s="1">
        <v>18</v>
      </c>
      <c r="K523" s="1">
        <v>0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>
        <v>1</v>
      </c>
      <c r="AR523" s="2"/>
      <c r="AS523" s="2"/>
      <c r="AT523" s="2"/>
      <c r="AU523" s="2"/>
      <c r="AV523" s="2"/>
      <c r="AW523" s="2"/>
      <c r="AX523" s="1" t="s">
        <v>99</v>
      </c>
    </row>
    <row r="524" spans="1:50" x14ac:dyDescent="0.4">
      <c r="A524" s="1" t="str">
        <f t="shared" si="27"/>
        <v>有明</v>
      </c>
      <c r="B524" s="1" t="str">
        <f>"山村皮膚科医院"</f>
        <v>山村皮膚科医院</v>
      </c>
      <c r="C524" s="1" t="str">
        <f>"864-0057"</f>
        <v>864-0057</v>
      </c>
      <c r="D524" s="1" t="s">
        <v>638</v>
      </c>
      <c r="E524" s="1" t="str">
        <f>"0968623515    "</f>
        <v xml:space="preserve">0968623515    </v>
      </c>
      <c r="F524" s="1" t="str">
        <f>"医療法人社団　山杏会"</f>
        <v>医療法人社団　山杏会</v>
      </c>
      <c r="G524" s="1" t="str">
        <f>"R05.08.16"</f>
        <v>R05.08.16</v>
      </c>
      <c r="H524" s="1" t="str">
        <f t="shared" si="28"/>
        <v>開設中</v>
      </c>
      <c r="I524" s="1">
        <v>0</v>
      </c>
      <c r="J524" s="1">
        <v>0</v>
      </c>
      <c r="K524" s="1">
        <v>0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>
        <v>1</v>
      </c>
      <c r="AA524" s="2"/>
      <c r="AB524" s="2"/>
      <c r="AC524" s="2"/>
      <c r="AD524" s="2"/>
      <c r="AE524" s="2"/>
      <c r="AF524" s="2"/>
      <c r="AG524" s="2"/>
      <c r="AH524" s="2"/>
      <c r="AI524" s="2">
        <v>1</v>
      </c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1"/>
    </row>
    <row r="525" spans="1:50" x14ac:dyDescent="0.4">
      <c r="A525" s="1" t="str">
        <f t="shared" si="27"/>
        <v>有明</v>
      </c>
      <c r="B525" s="1" t="str">
        <f>"ひらしま小児科医院"</f>
        <v>ひらしま小児科医院</v>
      </c>
      <c r="C525" s="1" t="str">
        <f>"865-0016"</f>
        <v>865-0016</v>
      </c>
      <c r="D525" s="1" t="s">
        <v>639</v>
      </c>
      <c r="E525" s="1" t="str">
        <f>"0968735530    "</f>
        <v xml:space="preserve">0968735530    </v>
      </c>
      <c r="F525" s="1" t="str">
        <f>"医療法人平心会"</f>
        <v>医療法人平心会</v>
      </c>
      <c r="G525" s="1" t="str">
        <f>"R06.06.01"</f>
        <v>R06.06.01</v>
      </c>
      <c r="H525" s="1" t="str">
        <f t="shared" si="28"/>
        <v>開設中</v>
      </c>
      <c r="I525" s="1">
        <v>0</v>
      </c>
      <c r="J525" s="1">
        <v>0</v>
      </c>
      <c r="K525" s="1">
        <v>0</v>
      </c>
      <c r="L525" s="2">
        <v>1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>
        <v>1</v>
      </c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1"/>
    </row>
    <row r="526" spans="1:50" x14ac:dyDescent="0.4">
      <c r="A526" s="1" t="str">
        <f t="shared" si="27"/>
        <v>有明</v>
      </c>
      <c r="B526" s="1" t="str">
        <f>"松山医院"</f>
        <v>松山医院</v>
      </c>
      <c r="C526" s="1" t="str">
        <f>"864-0001"</f>
        <v>864-0001</v>
      </c>
      <c r="D526" s="1" t="s">
        <v>640</v>
      </c>
      <c r="E526" s="1" t="str">
        <f>"0964620418    "</f>
        <v xml:space="preserve">0964620418    </v>
      </c>
      <c r="F526" s="1" t="str">
        <f>"医療法人　松山会"</f>
        <v>医療法人　松山会</v>
      </c>
      <c r="G526" s="1" t="str">
        <f>"R07.04.01"</f>
        <v>R07.04.01</v>
      </c>
      <c r="H526" s="1" t="str">
        <f t="shared" si="28"/>
        <v>開設中</v>
      </c>
      <c r="I526" s="1">
        <v>9</v>
      </c>
      <c r="J526" s="1">
        <v>5</v>
      </c>
      <c r="K526" s="1">
        <v>4</v>
      </c>
      <c r="L526" s="2">
        <v>1</v>
      </c>
      <c r="M526" s="2"/>
      <c r="N526" s="2"/>
      <c r="O526" s="2"/>
      <c r="P526" s="2"/>
      <c r="Q526" s="2"/>
      <c r="R526" s="2"/>
      <c r="S526" s="2"/>
      <c r="T526" s="2">
        <v>1</v>
      </c>
      <c r="U526" s="2"/>
      <c r="V526" s="2"/>
      <c r="W526" s="2">
        <v>1</v>
      </c>
      <c r="X526" s="2">
        <v>1</v>
      </c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>
        <v>1</v>
      </c>
      <c r="AS526" s="2"/>
      <c r="AT526" s="2"/>
      <c r="AU526" s="2"/>
      <c r="AV526" s="2"/>
      <c r="AW526" s="2"/>
      <c r="AX526" s="1"/>
    </row>
    <row r="527" spans="1:50" x14ac:dyDescent="0.4">
      <c r="A527" s="1" t="str">
        <f t="shared" si="27"/>
        <v>有明</v>
      </c>
      <c r="B527" s="1" t="str">
        <f>"あだち内科胃腸科クリニック"</f>
        <v>あだち内科胃腸科クリニック</v>
      </c>
      <c r="C527" s="1" t="str">
        <f>"864-0012"</f>
        <v>864-0012</v>
      </c>
      <c r="D527" s="1" t="s">
        <v>641</v>
      </c>
      <c r="E527" s="1" t="str">
        <f>"0968658500    "</f>
        <v xml:space="preserve">0968658500    </v>
      </c>
      <c r="F527" s="1" t="str">
        <f>"足達　照之"</f>
        <v>足達　照之</v>
      </c>
      <c r="G527" s="1" t="str">
        <f>"H13.05.02"</f>
        <v>H13.05.02</v>
      </c>
      <c r="H527" s="1" t="str">
        <f t="shared" si="28"/>
        <v>開設中</v>
      </c>
      <c r="I527" s="1">
        <v>0</v>
      </c>
      <c r="J527" s="1">
        <v>0</v>
      </c>
      <c r="K527" s="1">
        <v>0</v>
      </c>
      <c r="L527" s="2">
        <v>1</v>
      </c>
      <c r="M527" s="2"/>
      <c r="N527" s="2"/>
      <c r="O527" s="2"/>
      <c r="P527" s="2"/>
      <c r="Q527" s="2"/>
      <c r="R527" s="2">
        <v>1</v>
      </c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1"/>
    </row>
    <row r="528" spans="1:50" x14ac:dyDescent="0.4">
      <c r="A528" s="1" t="str">
        <f t="shared" si="27"/>
        <v>有明</v>
      </c>
      <c r="B528" s="1" t="str">
        <f>"荒尾駅前クリニック"</f>
        <v>荒尾駅前クリニック</v>
      </c>
      <c r="C528" s="1" t="str">
        <f>"864-0027"</f>
        <v>864-0027</v>
      </c>
      <c r="D528" s="1" t="s">
        <v>642</v>
      </c>
      <c r="E528" s="1" t="str">
        <f>"0968641895    "</f>
        <v xml:space="preserve">0968641895    </v>
      </c>
      <c r="F528" s="1" t="str">
        <f>"医療法人藤ノ瀬会"</f>
        <v>医療法人藤ノ瀬会</v>
      </c>
      <c r="G528" s="1" t="str">
        <f>"H07.02.06"</f>
        <v>H07.02.06</v>
      </c>
      <c r="H528" s="1" t="str">
        <f t="shared" si="28"/>
        <v>開設中</v>
      </c>
      <c r="I528" s="1">
        <v>0</v>
      </c>
      <c r="J528" s="1">
        <v>0</v>
      </c>
      <c r="K528" s="1">
        <v>0</v>
      </c>
      <c r="L528" s="2">
        <v>1</v>
      </c>
      <c r="M528" s="2"/>
      <c r="N528" s="2"/>
      <c r="O528" s="2"/>
      <c r="P528" s="2"/>
      <c r="Q528" s="2">
        <v>1</v>
      </c>
      <c r="R528" s="2">
        <v>1</v>
      </c>
      <c r="S528" s="2"/>
      <c r="T528" s="2">
        <v>1</v>
      </c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1"/>
    </row>
    <row r="529" spans="1:50" x14ac:dyDescent="0.4">
      <c r="A529" s="1" t="str">
        <f t="shared" si="27"/>
        <v>有明</v>
      </c>
      <c r="B529" s="1" t="str">
        <f>"荒尾クリニック"</f>
        <v>荒尾クリニック</v>
      </c>
      <c r="C529" s="1" t="str">
        <f>"864-0041"</f>
        <v>864-0041</v>
      </c>
      <c r="D529" s="1" t="s">
        <v>643</v>
      </c>
      <c r="E529" s="1" t="str">
        <f>"0968631166    "</f>
        <v xml:space="preserve">0968631166    </v>
      </c>
      <c r="F529" s="1" t="str">
        <f>"医療法人社団荒尾クリニック"</f>
        <v>医療法人社団荒尾クリニック</v>
      </c>
      <c r="G529" s="1" t="str">
        <f>"H02.09.01"</f>
        <v>H02.09.01</v>
      </c>
      <c r="H529" s="1" t="str">
        <f t="shared" si="28"/>
        <v>開設中</v>
      </c>
      <c r="I529" s="1">
        <v>19</v>
      </c>
      <c r="J529" s="1">
        <v>15</v>
      </c>
      <c r="K529" s="1">
        <v>4</v>
      </c>
      <c r="L529" s="2">
        <v>1</v>
      </c>
      <c r="M529" s="2">
        <v>1</v>
      </c>
      <c r="N529" s="2"/>
      <c r="O529" s="2"/>
      <c r="P529" s="2"/>
      <c r="Q529" s="2">
        <v>1</v>
      </c>
      <c r="R529" s="2">
        <v>1</v>
      </c>
      <c r="S529" s="2">
        <v>1</v>
      </c>
      <c r="T529" s="2">
        <v>1</v>
      </c>
      <c r="U529" s="2">
        <v>1</v>
      </c>
      <c r="V529" s="2">
        <v>1</v>
      </c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>
        <v>1</v>
      </c>
      <c r="AR529" s="2">
        <v>1</v>
      </c>
      <c r="AS529" s="2"/>
      <c r="AT529" s="2"/>
      <c r="AU529" s="2"/>
      <c r="AV529" s="2"/>
      <c r="AW529" s="2">
        <v>1</v>
      </c>
      <c r="AX529" s="1" t="s">
        <v>86</v>
      </c>
    </row>
    <row r="530" spans="1:50" x14ac:dyDescent="0.4">
      <c r="A530" s="1" t="str">
        <f t="shared" si="27"/>
        <v>有明</v>
      </c>
      <c r="B530" s="1" t="str">
        <f>"石塚眼科医院"</f>
        <v>石塚眼科医院</v>
      </c>
      <c r="C530" s="1" t="str">
        <f>"864-0041"</f>
        <v>864-0041</v>
      </c>
      <c r="D530" s="1" t="s">
        <v>644</v>
      </c>
      <c r="E530" s="1" t="str">
        <f>"0968642780    "</f>
        <v xml:space="preserve">0968642780    </v>
      </c>
      <c r="F530" s="1" t="str">
        <f>"石塚　千聡"</f>
        <v>石塚　千聡</v>
      </c>
      <c r="G530" s="1" t="str">
        <f>"H03.09.11"</f>
        <v>H03.09.11</v>
      </c>
      <c r="H530" s="1" t="str">
        <f t="shared" si="28"/>
        <v>開設中</v>
      </c>
      <c r="I530" s="1">
        <v>0</v>
      </c>
      <c r="J530" s="1">
        <v>0</v>
      </c>
      <c r="K530" s="1">
        <v>0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>
        <v>1</v>
      </c>
      <c r="AO530" s="2"/>
      <c r="AP530" s="2"/>
      <c r="AQ530" s="2"/>
      <c r="AR530" s="2"/>
      <c r="AS530" s="2"/>
      <c r="AT530" s="2"/>
      <c r="AU530" s="2"/>
      <c r="AV530" s="2"/>
      <c r="AW530" s="2"/>
      <c r="AX530" s="1"/>
    </row>
    <row r="531" spans="1:50" x14ac:dyDescent="0.4">
      <c r="A531" s="1" t="str">
        <f t="shared" si="27"/>
        <v>有明</v>
      </c>
      <c r="B531" s="1" t="str">
        <f>"伊藤医院"</f>
        <v>伊藤医院</v>
      </c>
      <c r="C531" s="1" t="str">
        <f>"864-0052"</f>
        <v>864-0052</v>
      </c>
      <c r="D531" s="1" t="s">
        <v>645</v>
      </c>
      <c r="E531" s="1" t="str">
        <f>"0968620405    "</f>
        <v xml:space="preserve">0968620405    </v>
      </c>
      <c r="F531" s="1" t="str">
        <f>"医療法人藤杏会"</f>
        <v>医療法人藤杏会</v>
      </c>
      <c r="G531" s="1" t="str">
        <f>"H06.03.01"</f>
        <v>H06.03.01</v>
      </c>
      <c r="H531" s="1" t="str">
        <f t="shared" si="28"/>
        <v>開設中</v>
      </c>
      <c r="I531" s="1">
        <v>19</v>
      </c>
      <c r="J531" s="1">
        <v>15</v>
      </c>
      <c r="K531" s="1">
        <v>4</v>
      </c>
      <c r="L531" s="2">
        <v>1</v>
      </c>
      <c r="M531" s="2"/>
      <c r="N531" s="2"/>
      <c r="O531" s="2"/>
      <c r="P531" s="2"/>
      <c r="Q531" s="2"/>
      <c r="R531" s="2"/>
      <c r="S531" s="2">
        <v>1</v>
      </c>
      <c r="T531" s="2"/>
      <c r="U531" s="2"/>
      <c r="V531" s="2"/>
      <c r="W531" s="2">
        <v>1</v>
      </c>
      <c r="X531" s="2">
        <v>1</v>
      </c>
      <c r="Y531" s="2"/>
      <c r="Z531" s="2"/>
      <c r="AA531" s="2"/>
      <c r="AB531" s="2"/>
      <c r="AC531" s="2"/>
      <c r="AD531" s="2"/>
      <c r="AE531" s="2"/>
      <c r="AF531" s="2"/>
      <c r="AG531" s="2">
        <v>1</v>
      </c>
      <c r="AH531" s="2"/>
      <c r="AI531" s="2">
        <v>1</v>
      </c>
      <c r="AJ531" s="2"/>
      <c r="AK531" s="2"/>
      <c r="AL531" s="2"/>
      <c r="AM531" s="2"/>
      <c r="AN531" s="2"/>
      <c r="AO531" s="2"/>
      <c r="AP531" s="2"/>
      <c r="AQ531" s="2">
        <v>1</v>
      </c>
      <c r="AR531" s="2">
        <v>1</v>
      </c>
      <c r="AS531" s="2"/>
      <c r="AT531" s="2"/>
      <c r="AU531" s="2"/>
      <c r="AV531" s="2"/>
      <c r="AW531" s="2"/>
      <c r="AX531" s="1"/>
    </row>
    <row r="532" spans="1:50" x14ac:dyDescent="0.4">
      <c r="A532" s="1" t="str">
        <f t="shared" si="27"/>
        <v>有明</v>
      </c>
      <c r="B532" s="1" t="str">
        <f>"牛島内科・消化器内科クリニック"</f>
        <v>牛島内科・消化器内科クリニック</v>
      </c>
      <c r="C532" s="1" t="str">
        <f>"864-0021"</f>
        <v>864-0021</v>
      </c>
      <c r="D532" s="1" t="s">
        <v>646</v>
      </c>
      <c r="E532" s="1" t="str">
        <f>"0968642361    "</f>
        <v xml:space="preserve">0968642361    </v>
      </c>
      <c r="F532" s="1" t="str">
        <f>"医療法人社団牛島会"</f>
        <v>医療法人社団牛島会</v>
      </c>
      <c r="G532" s="1" t="str">
        <f>"H09.12.01"</f>
        <v>H09.12.01</v>
      </c>
      <c r="H532" s="1" t="str">
        <f t="shared" si="28"/>
        <v>開設中</v>
      </c>
      <c r="I532" s="1">
        <v>0</v>
      </c>
      <c r="J532" s="1">
        <v>0</v>
      </c>
      <c r="K532" s="1">
        <v>0</v>
      </c>
      <c r="L532" s="2">
        <v>1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1" t="s">
        <v>62</v>
      </c>
    </row>
    <row r="533" spans="1:50" x14ac:dyDescent="0.4">
      <c r="A533" s="1" t="str">
        <f t="shared" si="27"/>
        <v>有明</v>
      </c>
      <c r="B533" s="1" t="str">
        <f>"江崎耳鼻咽喉科クリニック"</f>
        <v>江崎耳鼻咽喉科クリニック</v>
      </c>
      <c r="C533" s="1" t="str">
        <f>"864-0041"</f>
        <v>864-0041</v>
      </c>
      <c r="D533" s="1" t="s">
        <v>647</v>
      </c>
      <c r="E533" s="1" t="str">
        <f>"0968625533    "</f>
        <v xml:space="preserve">0968625533    </v>
      </c>
      <c r="F533" s="1" t="str">
        <f>"医療法人　泰光会"</f>
        <v>医療法人　泰光会</v>
      </c>
      <c r="G533" s="1" t="str">
        <f>"H16.01.01"</f>
        <v>H16.01.01</v>
      </c>
      <c r="H533" s="1" t="str">
        <f t="shared" si="28"/>
        <v>開設中</v>
      </c>
      <c r="I533" s="1">
        <v>0</v>
      </c>
      <c r="J533" s="1">
        <v>0</v>
      </c>
      <c r="K533" s="1">
        <v>0</v>
      </c>
      <c r="L533" s="2"/>
      <c r="M533" s="2"/>
      <c r="N533" s="2"/>
      <c r="O533" s="2"/>
      <c r="P533" s="2"/>
      <c r="Q533" s="2"/>
      <c r="R533" s="2"/>
      <c r="S533" s="2"/>
      <c r="T533" s="2"/>
      <c r="U533" s="2">
        <v>1</v>
      </c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>
        <v>1</v>
      </c>
      <c r="AP533" s="2"/>
      <c r="AQ533" s="2"/>
      <c r="AR533" s="2"/>
      <c r="AS533" s="2"/>
      <c r="AT533" s="2"/>
      <c r="AU533" s="2"/>
      <c r="AV533" s="2"/>
      <c r="AW533" s="2"/>
      <c r="AX533" s="1"/>
    </row>
    <row r="534" spans="1:50" x14ac:dyDescent="0.4">
      <c r="A534" s="1" t="str">
        <f t="shared" si="27"/>
        <v>有明</v>
      </c>
      <c r="B534" s="1" t="str">
        <f>"特別養護老人ホームオレンジヒル小岱"</f>
        <v>特別養護老人ホームオレンジヒル小岱</v>
      </c>
      <c r="C534" s="1" t="str">
        <f>"864-0165"</f>
        <v>864-0165</v>
      </c>
      <c r="D534" s="1" t="s">
        <v>648</v>
      </c>
      <c r="E534" s="1" t="str">
        <f>"0968688100    "</f>
        <v xml:space="preserve">0968688100    </v>
      </c>
      <c r="F534" s="1" t="str">
        <f>"社会福祉法人恵伸会"</f>
        <v>社会福祉法人恵伸会</v>
      </c>
      <c r="G534" s="1" t="str">
        <f>"H10.06.22"</f>
        <v>H10.06.22</v>
      </c>
      <c r="H534" s="1" t="str">
        <f t="shared" si="28"/>
        <v>開設中</v>
      </c>
      <c r="I534" s="1">
        <v>0</v>
      </c>
      <c r="J534" s="1">
        <v>0</v>
      </c>
      <c r="K534" s="1">
        <v>0</v>
      </c>
      <c r="L534" s="2">
        <v>1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1"/>
    </row>
    <row r="535" spans="1:50" x14ac:dyDescent="0.4">
      <c r="A535" s="1" t="str">
        <f t="shared" si="27"/>
        <v>有明</v>
      </c>
      <c r="B535" s="1" t="str">
        <f>"こどもクリニック友枝"</f>
        <v>こどもクリニック友枝</v>
      </c>
      <c r="C535" s="1" t="str">
        <f>"864-0041"</f>
        <v>864-0041</v>
      </c>
      <c r="D535" s="1" t="s">
        <v>649</v>
      </c>
      <c r="E535" s="1" t="str">
        <f>"0968658181    "</f>
        <v xml:space="preserve">0968658181    </v>
      </c>
      <c r="F535" s="1" t="str">
        <f>"医療法人童夢会"</f>
        <v>医療法人童夢会</v>
      </c>
      <c r="G535" s="1" t="str">
        <f>"H14.02.01"</f>
        <v>H14.02.01</v>
      </c>
      <c r="H535" s="1" t="str">
        <f t="shared" si="28"/>
        <v>開設中</v>
      </c>
      <c r="I535" s="1">
        <v>0</v>
      </c>
      <c r="J535" s="1">
        <v>0</v>
      </c>
      <c r="K535" s="1">
        <v>0</v>
      </c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>
        <v>1</v>
      </c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1" t="s">
        <v>100</v>
      </c>
    </row>
    <row r="536" spans="1:50" x14ac:dyDescent="0.4">
      <c r="A536" s="1" t="str">
        <f t="shared" si="27"/>
        <v>有明</v>
      </c>
      <c r="B536" s="1" t="str">
        <f>"軽費老人ホーム小岱荘"</f>
        <v>軽費老人ホーム小岱荘</v>
      </c>
      <c r="C536" s="1" t="str">
        <f>"864-0032"</f>
        <v>864-0032</v>
      </c>
      <c r="D536" s="1" t="s">
        <v>650</v>
      </c>
      <c r="E536" s="1" t="str">
        <f>"0968642038    "</f>
        <v xml:space="preserve">0968642038    </v>
      </c>
      <c r="F536" s="1" t="str">
        <f>"社会福祉法人荒尾市社会福祉事業団"</f>
        <v>社会福祉法人荒尾市社会福祉事業団</v>
      </c>
      <c r="G536" s="1" t="str">
        <f>"H06.12.14"</f>
        <v>H06.12.14</v>
      </c>
      <c r="H536" s="1" t="str">
        <f t="shared" si="28"/>
        <v>開設中</v>
      </c>
      <c r="I536" s="1">
        <v>0</v>
      </c>
      <c r="J536" s="1">
        <v>0</v>
      </c>
      <c r="K536" s="1">
        <v>0</v>
      </c>
      <c r="L536" s="2">
        <v>1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1"/>
    </row>
    <row r="537" spans="1:50" x14ac:dyDescent="0.4">
      <c r="A537" s="1" t="str">
        <f t="shared" si="27"/>
        <v>有明</v>
      </c>
      <c r="B537" s="1" t="str">
        <f>"くるみクリニック"</f>
        <v>くるみクリニック</v>
      </c>
      <c r="C537" s="1" t="str">
        <f>"864-0041"</f>
        <v>864-0041</v>
      </c>
      <c r="D537" s="1" t="s">
        <v>651</v>
      </c>
      <c r="E537" s="1" t="str">
        <f>"0968621273    "</f>
        <v xml:space="preserve">0968621273    </v>
      </c>
      <c r="F537" s="1" t="str">
        <f>"医療法人くるみ会"</f>
        <v>医療法人くるみ会</v>
      </c>
      <c r="G537" s="1" t="str">
        <f>"S41.07.25"</f>
        <v>S41.07.25</v>
      </c>
      <c r="H537" s="1" t="str">
        <f t="shared" si="28"/>
        <v>開設中</v>
      </c>
      <c r="I537" s="1">
        <v>0</v>
      </c>
      <c r="J537" s="1">
        <v>0</v>
      </c>
      <c r="K537" s="1">
        <v>0</v>
      </c>
      <c r="L537" s="2">
        <v>1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>
        <v>1</v>
      </c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1" t="s">
        <v>101</v>
      </c>
    </row>
    <row r="538" spans="1:50" x14ac:dyDescent="0.4">
      <c r="A538" s="1" t="str">
        <f t="shared" si="27"/>
        <v>有明</v>
      </c>
      <c r="B538" s="1" t="str">
        <f>"関整形外科"</f>
        <v>関整形外科</v>
      </c>
      <c r="C538" s="1" t="str">
        <f>"864-0041"</f>
        <v>864-0041</v>
      </c>
      <c r="D538" s="1" t="s">
        <v>652</v>
      </c>
      <c r="E538" s="1" t="str">
        <f>"0968640237    "</f>
        <v xml:space="preserve">0968640237    </v>
      </c>
      <c r="F538" s="1" t="str">
        <f>"医療法人社団昭和会"</f>
        <v>医療法人社団昭和会</v>
      </c>
      <c r="G538" s="1" t="str">
        <f>"S63.06.01"</f>
        <v>S63.06.01</v>
      </c>
      <c r="H538" s="1" t="str">
        <f t="shared" si="28"/>
        <v>開設中</v>
      </c>
      <c r="I538" s="1">
        <v>19</v>
      </c>
      <c r="J538" s="1">
        <v>9</v>
      </c>
      <c r="K538" s="1">
        <v>10</v>
      </c>
      <c r="L538" s="2">
        <v>1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>
        <v>1</v>
      </c>
      <c r="Z538" s="2">
        <v>1</v>
      </c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>
        <v>1</v>
      </c>
      <c r="AR538" s="2"/>
      <c r="AS538" s="2"/>
      <c r="AT538" s="2"/>
      <c r="AU538" s="2"/>
      <c r="AV538" s="2"/>
      <c r="AW538" s="2"/>
      <c r="AX538" s="1"/>
    </row>
    <row r="539" spans="1:50" x14ac:dyDescent="0.4">
      <c r="A539" s="1" t="str">
        <f t="shared" si="27"/>
        <v>有明</v>
      </c>
      <c r="B539" s="1" t="str">
        <f>"高橋医院"</f>
        <v>高橋医院</v>
      </c>
      <c r="C539" s="1" t="str">
        <f>"864-0163"</f>
        <v>864-0163</v>
      </c>
      <c r="D539" s="1" t="s">
        <v>653</v>
      </c>
      <c r="E539" s="1" t="str">
        <f>"0968680035    "</f>
        <v xml:space="preserve">0968680035    </v>
      </c>
      <c r="F539" s="1" t="str">
        <f>"医療法人まつもと"</f>
        <v>医療法人まつもと</v>
      </c>
      <c r="G539" s="1" t="str">
        <f>"H15.01.01"</f>
        <v>H15.01.01</v>
      </c>
      <c r="H539" s="1" t="str">
        <f t="shared" si="28"/>
        <v>開設中</v>
      </c>
      <c r="I539" s="1">
        <v>0</v>
      </c>
      <c r="J539" s="1">
        <v>0</v>
      </c>
      <c r="K539" s="1">
        <v>0</v>
      </c>
      <c r="L539" s="2">
        <v>1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1"/>
    </row>
    <row r="540" spans="1:50" x14ac:dyDescent="0.4">
      <c r="A540" s="1" t="str">
        <f t="shared" si="27"/>
        <v>有明</v>
      </c>
      <c r="B540" s="1" t="str">
        <f>"田宮医院"</f>
        <v>田宮医院</v>
      </c>
      <c r="C540" s="1" t="str">
        <f>"864-0051"</f>
        <v>864-0051</v>
      </c>
      <c r="D540" s="1" t="s">
        <v>654</v>
      </c>
      <c r="E540" s="1" t="str">
        <f>"0968620017    "</f>
        <v xml:space="preserve">0968620017    </v>
      </c>
      <c r="F540" s="1" t="str">
        <f>"医療法人芳正会"</f>
        <v>医療法人芳正会</v>
      </c>
      <c r="G540" s="1" t="str">
        <f>"H10.11.02"</f>
        <v>H10.11.02</v>
      </c>
      <c r="H540" s="1" t="str">
        <f t="shared" ref="H540:H603" si="29">"開設中"</f>
        <v>開設中</v>
      </c>
      <c r="I540" s="1">
        <v>0</v>
      </c>
      <c r="J540" s="1">
        <v>0</v>
      </c>
      <c r="K540" s="1">
        <v>0</v>
      </c>
      <c r="L540" s="2">
        <v>1</v>
      </c>
      <c r="M540" s="2"/>
      <c r="N540" s="2"/>
      <c r="O540" s="2"/>
      <c r="P540" s="2"/>
      <c r="Q540" s="2"/>
      <c r="R540" s="2">
        <v>1</v>
      </c>
      <c r="S540" s="2"/>
      <c r="T540" s="2"/>
      <c r="U540" s="2"/>
      <c r="V540" s="2"/>
      <c r="W540" s="2">
        <v>1</v>
      </c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1"/>
    </row>
    <row r="541" spans="1:50" x14ac:dyDescent="0.4">
      <c r="A541" s="1" t="str">
        <f t="shared" si="27"/>
        <v>有明</v>
      </c>
      <c r="B541" s="1" t="str">
        <f>"田宮泌尿器科クリニック"</f>
        <v>田宮泌尿器科クリニック</v>
      </c>
      <c r="C541" s="1" t="str">
        <f>"864-0041"</f>
        <v>864-0041</v>
      </c>
      <c r="D541" s="1" t="s">
        <v>655</v>
      </c>
      <c r="E541" s="1" t="str">
        <f>"0968658330    "</f>
        <v xml:space="preserve">0968658330    </v>
      </c>
      <c r="F541" s="1" t="str">
        <f>"医療法人　恵真会"</f>
        <v>医療法人　恵真会</v>
      </c>
      <c r="G541" s="1" t="str">
        <f>"H16.04.01"</f>
        <v>H16.04.01</v>
      </c>
      <c r="H541" s="1" t="str">
        <f t="shared" si="29"/>
        <v>開設中</v>
      </c>
      <c r="I541" s="1">
        <v>0</v>
      </c>
      <c r="J541" s="1">
        <v>0</v>
      </c>
      <c r="K541" s="1">
        <v>0</v>
      </c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>
        <v>1</v>
      </c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1"/>
    </row>
    <row r="542" spans="1:50" x14ac:dyDescent="0.4">
      <c r="A542" s="1" t="str">
        <f t="shared" si="27"/>
        <v>有明</v>
      </c>
      <c r="B542" s="1" t="str">
        <f>"特別養護老人ホーム白寿園"</f>
        <v>特別養護老人ホーム白寿園</v>
      </c>
      <c r="C542" s="1" t="str">
        <f>"864-0021"</f>
        <v>864-0021</v>
      </c>
      <c r="D542" s="1" t="s">
        <v>656</v>
      </c>
      <c r="E542" s="1" t="str">
        <f>"0968680176    "</f>
        <v xml:space="preserve">0968680176    </v>
      </c>
      <c r="F542" s="1" t="str">
        <f>"社会福祉法人杏風会"</f>
        <v>社会福祉法人杏風会</v>
      </c>
      <c r="G542" s="1" t="str">
        <f>"S47.05.01"</f>
        <v>S47.05.01</v>
      </c>
      <c r="H542" s="1" t="str">
        <f t="shared" si="29"/>
        <v>開設中</v>
      </c>
      <c r="I542" s="1">
        <v>0</v>
      </c>
      <c r="J542" s="1">
        <v>0</v>
      </c>
      <c r="K542" s="1">
        <v>0</v>
      </c>
      <c r="L542" s="2">
        <v>1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1"/>
    </row>
    <row r="543" spans="1:50" x14ac:dyDescent="0.4">
      <c r="A543" s="1" t="str">
        <f t="shared" si="27"/>
        <v>有明</v>
      </c>
      <c r="B543" s="1" t="str">
        <f>"藤枝医院"</f>
        <v>藤枝医院</v>
      </c>
      <c r="C543" s="1" t="str">
        <f>"864-0027"</f>
        <v>864-0027</v>
      </c>
      <c r="D543" s="1" t="s">
        <v>657</v>
      </c>
      <c r="E543" s="1" t="str">
        <f>"0968683232    "</f>
        <v xml:space="preserve">0968683232    </v>
      </c>
      <c r="F543" s="1" t="str">
        <f>"医療法人　平成会"</f>
        <v>医療法人　平成会</v>
      </c>
      <c r="G543" s="1" t="str">
        <f>"H02.09.01"</f>
        <v>H02.09.01</v>
      </c>
      <c r="H543" s="1" t="str">
        <f t="shared" si="29"/>
        <v>開設中</v>
      </c>
      <c r="I543" s="1">
        <v>19</v>
      </c>
      <c r="J543" s="1">
        <v>19</v>
      </c>
      <c r="K543" s="1">
        <v>0</v>
      </c>
      <c r="L543" s="2">
        <v>1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>
        <v>1</v>
      </c>
      <c r="AR543" s="2"/>
      <c r="AS543" s="2"/>
      <c r="AT543" s="2"/>
      <c r="AU543" s="2"/>
      <c r="AV543" s="2"/>
      <c r="AW543" s="2"/>
      <c r="AX543" s="1" t="s">
        <v>102</v>
      </c>
    </row>
    <row r="544" spans="1:50" x14ac:dyDescent="0.4">
      <c r="A544" s="1" t="str">
        <f t="shared" si="27"/>
        <v>有明</v>
      </c>
      <c r="B544" s="1" t="str">
        <f>"ふれあいクリニック"</f>
        <v>ふれあいクリニック</v>
      </c>
      <c r="C544" s="1" t="str">
        <f>"864-0031"</f>
        <v>864-0031</v>
      </c>
      <c r="D544" s="1" t="s">
        <v>658</v>
      </c>
      <c r="E544" s="1" t="str">
        <f>"0968686565    "</f>
        <v xml:space="preserve">0968686565    </v>
      </c>
      <c r="F544" s="1" t="str">
        <f>"医療法人社団荒尾クリニック"</f>
        <v>医療法人社団荒尾クリニック</v>
      </c>
      <c r="G544" s="1" t="str">
        <f>"H10.09.22"</f>
        <v>H10.09.22</v>
      </c>
      <c r="H544" s="1" t="str">
        <f t="shared" si="29"/>
        <v>開設中</v>
      </c>
      <c r="I544" s="1">
        <v>8</v>
      </c>
      <c r="J544" s="1">
        <v>8</v>
      </c>
      <c r="K544" s="1">
        <v>0</v>
      </c>
      <c r="L544" s="2">
        <v>1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>
        <v>1</v>
      </c>
      <c r="AR544" s="2"/>
      <c r="AS544" s="2"/>
      <c r="AT544" s="2"/>
      <c r="AU544" s="2"/>
      <c r="AV544" s="2"/>
      <c r="AW544" s="2"/>
      <c r="AX544" s="1" t="s">
        <v>52</v>
      </c>
    </row>
    <row r="545" spans="1:50" x14ac:dyDescent="0.4">
      <c r="A545" s="1" t="str">
        <f t="shared" si="27"/>
        <v>有明</v>
      </c>
      <c r="B545" s="1" t="str">
        <f>"産科婦人科まつおレディースクリニック"</f>
        <v>産科婦人科まつおレディースクリニック</v>
      </c>
      <c r="C545" s="1" t="str">
        <f>"864-0041"</f>
        <v>864-0041</v>
      </c>
      <c r="D545" s="1" t="s">
        <v>659</v>
      </c>
      <c r="E545" s="1" t="str">
        <f>"0968663110    "</f>
        <v xml:space="preserve">0968663110    </v>
      </c>
      <c r="F545" s="1" t="str">
        <f>"医療法人州裕会"</f>
        <v>医療法人州裕会</v>
      </c>
      <c r="G545" s="1" t="str">
        <f>"H14.06.01"</f>
        <v>H14.06.01</v>
      </c>
      <c r="H545" s="1" t="str">
        <f t="shared" si="29"/>
        <v>開設中</v>
      </c>
      <c r="I545" s="1">
        <v>15</v>
      </c>
      <c r="J545" s="1">
        <v>15</v>
      </c>
      <c r="K545" s="1">
        <v>0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>
        <v>1</v>
      </c>
      <c r="AM545" s="2">
        <v>1</v>
      </c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1"/>
    </row>
    <row r="546" spans="1:50" x14ac:dyDescent="0.4">
      <c r="A546" s="1" t="str">
        <f t="shared" si="27"/>
        <v>有明</v>
      </c>
      <c r="B546" s="1" t="str">
        <f>"緑ヶ丘クリニック"</f>
        <v>緑ヶ丘クリニック</v>
      </c>
      <c r="C546" s="1" t="str">
        <f>"864-0033"</f>
        <v>864-0033</v>
      </c>
      <c r="D546" s="1" t="s">
        <v>660</v>
      </c>
      <c r="E546" s="1" t="str">
        <f>"0968648007    "</f>
        <v xml:space="preserve">0968648007    </v>
      </c>
      <c r="F546" s="1" t="str">
        <f>"医療法人玉和会"</f>
        <v>医療法人玉和会</v>
      </c>
      <c r="G546" s="1" t="str">
        <f>"H13.02.21"</f>
        <v>H13.02.21</v>
      </c>
      <c r="H546" s="1" t="str">
        <f t="shared" si="29"/>
        <v>開設中</v>
      </c>
      <c r="I546" s="1">
        <v>0</v>
      </c>
      <c r="J546" s="1">
        <v>0</v>
      </c>
      <c r="K546" s="1">
        <v>0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1" t="s">
        <v>103</v>
      </c>
    </row>
    <row r="547" spans="1:50" x14ac:dyDescent="0.4">
      <c r="A547" s="1" t="str">
        <f t="shared" si="27"/>
        <v>有明</v>
      </c>
      <c r="B547" s="1" t="str">
        <f>"医療法人社団九萬会南整形外科医院"</f>
        <v>医療法人社団九萬会南整形外科医院</v>
      </c>
      <c r="C547" s="1" t="str">
        <f>"864-0041"</f>
        <v>864-0041</v>
      </c>
      <c r="D547" s="1" t="s">
        <v>661</v>
      </c>
      <c r="E547" s="1" t="str">
        <f>"0968642302    "</f>
        <v xml:space="preserve">0968642302    </v>
      </c>
      <c r="F547" s="1" t="str">
        <f>"医療法人九萬会"</f>
        <v>医療法人九萬会</v>
      </c>
      <c r="G547" s="1" t="str">
        <f>"H03.03.01"</f>
        <v>H03.03.01</v>
      </c>
      <c r="H547" s="1" t="str">
        <f t="shared" si="29"/>
        <v>開設中</v>
      </c>
      <c r="I547" s="1">
        <v>19</v>
      </c>
      <c r="J547" s="1">
        <v>19</v>
      </c>
      <c r="K547" s="1">
        <v>0</v>
      </c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>
        <v>1</v>
      </c>
      <c r="W547" s="2"/>
      <c r="X547" s="2"/>
      <c r="Y547" s="2">
        <v>1</v>
      </c>
      <c r="Z547" s="2">
        <v>1</v>
      </c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>
        <v>1</v>
      </c>
      <c r="AR547" s="2"/>
      <c r="AS547" s="2"/>
      <c r="AT547" s="2"/>
      <c r="AU547" s="2"/>
      <c r="AV547" s="2"/>
      <c r="AW547" s="2"/>
      <c r="AX547" s="1"/>
    </row>
    <row r="548" spans="1:50" x14ac:dyDescent="0.4">
      <c r="A548" s="1" t="str">
        <f t="shared" si="27"/>
        <v>有明</v>
      </c>
      <c r="B548" s="1" t="str">
        <f>"本里内科"</f>
        <v>本里内科</v>
      </c>
      <c r="C548" s="1" t="str">
        <f>"864-0004"</f>
        <v>864-0004</v>
      </c>
      <c r="D548" s="1" t="s">
        <v>662</v>
      </c>
      <c r="E548" s="1" t="str">
        <f>"0968640556    "</f>
        <v xml:space="preserve">0968640556    </v>
      </c>
      <c r="F548" s="1" t="str">
        <f>"医療法人本里内科"</f>
        <v>医療法人本里内科</v>
      </c>
      <c r="G548" s="1" t="str">
        <f>"H06.03.01"</f>
        <v>H06.03.01</v>
      </c>
      <c r="H548" s="1" t="str">
        <f t="shared" si="29"/>
        <v>開設中</v>
      </c>
      <c r="I548" s="1">
        <v>0</v>
      </c>
      <c r="J548" s="1">
        <v>0</v>
      </c>
      <c r="K548" s="1">
        <v>0</v>
      </c>
      <c r="L548" s="2">
        <v>1</v>
      </c>
      <c r="M548" s="2"/>
      <c r="N548" s="2"/>
      <c r="O548" s="2"/>
      <c r="P548" s="2"/>
      <c r="Q548" s="2">
        <v>1</v>
      </c>
      <c r="R548" s="2"/>
      <c r="S548" s="2">
        <v>1</v>
      </c>
      <c r="T548" s="2">
        <v>1</v>
      </c>
      <c r="U548" s="2"/>
      <c r="V548" s="2"/>
      <c r="W548" s="2">
        <v>1</v>
      </c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1"/>
    </row>
    <row r="549" spans="1:50" x14ac:dyDescent="0.4">
      <c r="A549" s="1" t="str">
        <f t="shared" si="27"/>
        <v>有明</v>
      </c>
      <c r="B549" s="1" t="str">
        <f>"荒尾市養護老人ホーム緑風園"</f>
        <v>荒尾市養護老人ホーム緑風園</v>
      </c>
      <c r="C549" s="1" t="str">
        <f>"864-0032"</f>
        <v>864-0032</v>
      </c>
      <c r="D549" s="1" t="s">
        <v>663</v>
      </c>
      <c r="E549" s="1" t="str">
        <f>"0968620643    "</f>
        <v xml:space="preserve">0968620643    </v>
      </c>
      <c r="F549" s="1" t="str">
        <f>"社会福祉法人荒尾市社会福祉事業団"</f>
        <v>社会福祉法人荒尾市社会福祉事業団</v>
      </c>
      <c r="G549" s="1" t="str">
        <f>"H02.04.01"</f>
        <v>H02.04.01</v>
      </c>
      <c r="H549" s="1" t="str">
        <f t="shared" si="29"/>
        <v>開設中</v>
      </c>
      <c r="I549" s="1">
        <v>0</v>
      </c>
      <c r="J549" s="1">
        <v>0</v>
      </c>
      <c r="K549" s="1">
        <v>0</v>
      </c>
      <c r="L549" s="2">
        <v>1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1"/>
    </row>
    <row r="550" spans="1:50" x14ac:dyDescent="0.4">
      <c r="A550" s="1" t="str">
        <f t="shared" si="27"/>
        <v>有明</v>
      </c>
      <c r="B550" s="1" t="str">
        <f>"浦田医院"</f>
        <v>浦田医院</v>
      </c>
      <c r="C550" s="1" t="str">
        <f>"865-0016"</f>
        <v>865-0016</v>
      </c>
      <c r="D550" s="1" t="s">
        <v>664</v>
      </c>
      <c r="E550" s="1" t="str">
        <f>"0968742412    "</f>
        <v xml:space="preserve">0968742412    </v>
      </c>
      <c r="F550" s="1" t="str">
        <f>"医療法人如春会"</f>
        <v>医療法人如春会</v>
      </c>
      <c r="G550" s="1" t="str">
        <f>"H02.10.01"</f>
        <v>H02.10.01</v>
      </c>
      <c r="H550" s="1" t="str">
        <f t="shared" si="29"/>
        <v>開設中</v>
      </c>
      <c r="I550" s="1">
        <v>16</v>
      </c>
      <c r="J550" s="1">
        <v>16</v>
      </c>
      <c r="K550" s="1">
        <v>0</v>
      </c>
      <c r="L550" s="2">
        <v>1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>
        <v>1</v>
      </c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1"/>
    </row>
    <row r="551" spans="1:50" x14ac:dyDescent="0.4">
      <c r="A551" s="1" t="str">
        <f t="shared" si="27"/>
        <v>有明</v>
      </c>
      <c r="B551" s="1" t="str">
        <f>"大礒耳鼻咽喉科医院"</f>
        <v>大礒耳鼻咽喉科医院</v>
      </c>
      <c r="C551" s="1" t="str">
        <f>"865-0015"</f>
        <v>865-0015</v>
      </c>
      <c r="D551" s="1" t="s">
        <v>665</v>
      </c>
      <c r="E551" s="1" t="str">
        <f>"0968734133    "</f>
        <v xml:space="preserve">0968734133    </v>
      </c>
      <c r="F551" s="1" t="str">
        <f>"医療法人恵生会"</f>
        <v>医療法人恵生会</v>
      </c>
      <c r="G551" s="1" t="str">
        <f>"H01.08.01"</f>
        <v>H01.08.01</v>
      </c>
      <c r="H551" s="1" t="str">
        <f t="shared" si="29"/>
        <v>開設中</v>
      </c>
      <c r="I551" s="1">
        <v>0</v>
      </c>
      <c r="J551" s="1">
        <v>0</v>
      </c>
      <c r="K551" s="1">
        <v>0</v>
      </c>
      <c r="L551" s="2"/>
      <c r="M551" s="2"/>
      <c r="N551" s="2"/>
      <c r="O551" s="2"/>
      <c r="P551" s="2"/>
      <c r="Q551" s="2"/>
      <c r="R551" s="2"/>
      <c r="S551" s="2"/>
      <c r="T551" s="2"/>
      <c r="U551" s="2">
        <v>1</v>
      </c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>
        <v>1</v>
      </c>
      <c r="AP551" s="2">
        <v>1</v>
      </c>
      <c r="AQ551" s="2"/>
      <c r="AR551" s="2"/>
      <c r="AS551" s="2"/>
      <c r="AT551" s="2"/>
      <c r="AU551" s="2"/>
      <c r="AV551" s="2"/>
      <c r="AW551" s="2"/>
      <c r="AX551" s="1"/>
    </row>
    <row r="552" spans="1:50" x14ac:dyDescent="0.4">
      <c r="A552" s="1" t="str">
        <f t="shared" si="27"/>
        <v>有明</v>
      </c>
      <c r="B552" s="1" t="str">
        <f>"おおかど胃腸科クリニック"</f>
        <v>おおかど胃腸科クリニック</v>
      </c>
      <c r="C552" s="1" t="str">
        <f>"865-0058"</f>
        <v>865-0058</v>
      </c>
      <c r="D552" s="1" t="s">
        <v>666</v>
      </c>
      <c r="E552" s="1" t="str">
        <f>"0968725611    "</f>
        <v xml:space="preserve">0968725611    </v>
      </c>
      <c r="F552" s="1" t="str">
        <f>"医療法人大光会"</f>
        <v>医療法人大光会</v>
      </c>
      <c r="G552" s="1" t="str">
        <f>"H05.10.01"</f>
        <v>H05.10.01</v>
      </c>
      <c r="H552" s="1" t="str">
        <f t="shared" si="29"/>
        <v>開設中</v>
      </c>
      <c r="I552" s="1">
        <v>4</v>
      </c>
      <c r="J552" s="1">
        <v>4</v>
      </c>
      <c r="K552" s="1">
        <v>0</v>
      </c>
      <c r="L552" s="2">
        <v>1</v>
      </c>
      <c r="M552" s="2"/>
      <c r="N552" s="2"/>
      <c r="O552" s="2"/>
      <c r="P552" s="2"/>
      <c r="Q552" s="2"/>
      <c r="R552" s="2">
        <v>1</v>
      </c>
      <c r="S552" s="2">
        <v>1</v>
      </c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>
        <v>1</v>
      </c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1"/>
    </row>
    <row r="553" spans="1:50" x14ac:dyDescent="0.4">
      <c r="A553" s="1" t="str">
        <f t="shared" ref="A553:A584" si="30">"有明"</f>
        <v>有明</v>
      </c>
      <c r="B553" s="1" t="str">
        <f>"大林循環器科内科医院"</f>
        <v>大林循環器科内科医院</v>
      </c>
      <c r="C553" s="1" t="str">
        <f>"865-0065"</f>
        <v>865-0065</v>
      </c>
      <c r="D553" s="1" t="s">
        <v>667</v>
      </c>
      <c r="E553" s="1" t="str">
        <f>"0968723866    "</f>
        <v xml:space="preserve">0968723866    </v>
      </c>
      <c r="F553" s="1" t="str">
        <f>"医療法人弘真会"</f>
        <v>医療法人弘真会</v>
      </c>
      <c r="G553" s="1" t="str">
        <f>"H06.09.01"</f>
        <v>H06.09.01</v>
      </c>
      <c r="H553" s="1" t="str">
        <f t="shared" si="29"/>
        <v>開設中</v>
      </c>
      <c r="I553" s="1">
        <v>0</v>
      </c>
      <c r="J553" s="1">
        <v>0</v>
      </c>
      <c r="K553" s="1">
        <v>0</v>
      </c>
      <c r="L553" s="2">
        <v>1</v>
      </c>
      <c r="M553" s="2"/>
      <c r="N553" s="2"/>
      <c r="O553" s="2"/>
      <c r="P553" s="2"/>
      <c r="Q553" s="2">
        <v>1</v>
      </c>
      <c r="R553" s="2">
        <v>1</v>
      </c>
      <c r="S553" s="2">
        <v>1</v>
      </c>
      <c r="T553" s="2">
        <v>1</v>
      </c>
      <c r="U553" s="2"/>
      <c r="V553" s="2"/>
      <c r="W553" s="2">
        <v>1</v>
      </c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1"/>
    </row>
    <row r="554" spans="1:50" x14ac:dyDescent="0.4">
      <c r="A554" s="1" t="str">
        <f t="shared" si="30"/>
        <v>有明</v>
      </c>
      <c r="B554" s="1" t="str">
        <f>"岡本外科医院"</f>
        <v>岡本外科医院</v>
      </c>
      <c r="C554" s="1" t="str">
        <f>"865-0015"</f>
        <v>865-0015</v>
      </c>
      <c r="D554" s="1" t="s">
        <v>668</v>
      </c>
      <c r="E554" s="1" t="str">
        <f>"0968742277    "</f>
        <v xml:space="preserve">0968742277    </v>
      </c>
      <c r="F554" s="1" t="str">
        <f>"医療法人誠真会"</f>
        <v>医療法人誠真会</v>
      </c>
      <c r="G554" s="1" t="str">
        <f>"H15.08.01"</f>
        <v>H15.08.01</v>
      </c>
      <c r="H554" s="1" t="str">
        <f t="shared" si="29"/>
        <v>開設中</v>
      </c>
      <c r="I554" s="1">
        <v>19</v>
      </c>
      <c r="J554" s="1">
        <v>7</v>
      </c>
      <c r="K554" s="1">
        <v>12</v>
      </c>
      <c r="L554" s="2"/>
      <c r="M554" s="2"/>
      <c r="N554" s="2"/>
      <c r="O554" s="2"/>
      <c r="P554" s="2"/>
      <c r="Q554" s="2"/>
      <c r="R554" s="2"/>
      <c r="S554" s="2">
        <v>1</v>
      </c>
      <c r="T554" s="2"/>
      <c r="U554" s="2"/>
      <c r="V554" s="2"/>
      <c r="W554" s="2"/>
      <c r="X554" s="2">
        <v>1</v>
      </c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1"/>
    </row>
    <row r="555" spans="1:50" x14ac:dyDescent="0.4">
      <c r="A555" s="1" t="str">
        <f t="shared" si="30"/>
        <v>有明</v>
      </c>
      <c r="B555" s="1" t="str">
        <f>"河野医院"</f>
        <v>河野医院</v>
      </c>
      <c r="C555" s="1" t="str">
        <f>"865-0025"</f>
        <v>865-0025</v>
      </c>
      <c r="D555" s="1" t="s">
        <v>669</v>
      </c>
      <c r="E555" s="1" t="str">
        <f>"0968733734    "</f>
        <v xml:space="preserve">0968733734    </v>
      </c>
      <c r="F555" s="1" t="str">
        <f>"医療法人社団済和会"</f>
        <v>医療法人社団済和会</v>
      </c>
      <c r="G555" s="1" t="str">
        <f>"H14.01.01"</f>
        <v>H14.01.01</v>
      </c>
      <c r="H555" s="1" t="str">
        <f t="shared" si="29"/>
        <v>開設中</v>
      </c>
      <c r="I555" s="1">
        <v>0</v>
      </c>
      <c r="J555" s="1">
        <v>0</v>
      </c>
      <c r="K555" s="1">
        <v>0</v>
      </c>
      <c r="L555" s="2">
        <v>1</v>
      </c>
      <c r="M555" s="2"/>
      <c r="N555" s="2"/>
      <c r="O555" s="2"/>
      <c r="P555" s="2"/>
      <c r="Q555" s="2"/>
      <c r="R555" s="2"/>
      <c r="S555" s="2">
        <v>1</v>
      </c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1"/>
    </row>
    <row r="556" spans="1:50" x14ac:dyDescent="0.4">
      <c r="A556" s="1" t="str">
        <f t="shared" si="30"/>
        <v>有明</v>
      </c>
      <c r="B556" s="1" t="str">
        <f>"河野クリニック"</f>
        <v>河野クリニック</v>
      </c>
      <c r="C556" s="1" t="str">
        <f>"865-0051"</f>
        <v>865-0051</v>
      </c>
      <c r="D556" s="1" t="s">
        <v>670</v>
      </c>
      <c r="E556" s="1" t="str">
        <f>"0968722345    "</f>
        <v xml:space="preserve">0968722345    </v>
      </c>
      <c r="F556" s="1" t="str">
        <f>"医療法人秀和会"</f>
        <v>医療法人秀和会</v>
      </c>
      <c r="G556" s="1" t="str">
        <f>"H06.03.01"</f>
        <v>H06.03.01</v>
      </c>
      <c r="H556" s="1" t="str">
        <f t="shared" si="29"/>
        <v>開設中</v>
      </c>
      <c r="I556" s="1">
        <v>0</v>
      </c>
      <c r="J556" s="1">
        <v>0</v>
      </c>
      <c r="K556" s="1">
        <v>0</v>
      </c>
      <c r="L556" s="2">
        <v>1</v>
      </c>
      <c r="M556" s="2"/>
      <c r="N556" s="2"/>
      <c r="O556" s="2"/>
      <c r="P556" s="2"/>
      <c r="Q556" s="2"/>
      <c r="R556" s="2"/>
      <c r="S556" s="2">
        <v>1</v>
      </c>
      <c r="T556" s="2"/>
      <c r="U556" s="2"/>
      <c r="V556" s="2"/>
      <c r="W556" s="2"/>
      <c r="X556" s="2">
        <v>1</v>
      </c>
      <c r="Y556" s="2"/>
      <c r="Z556" s="2"/>
      <c r="AA556" s="2"/>
      <c r="AB556" s="2"/>
      <c r="AC556" s="2"/>
      <c r="AD556" s="2"/>
      <c r="AE556" s="2"/>
      <c r="AF556" s="2"/>
      <c r="AG556" s="2">
        <v>1</v>
      </c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1"/>
    </row>
    <row r="557" spans="1:50" x14ac:dyDescent="0.4">
      <c r="A557" s="1" t="str">
        <f t="shared" si="30"/>
        <v>有明</v>
      </c>
      <c r="B557" s="1" t="str">
        <f>"菅海明堂医院"</f>
        <v>菅海明堂医院</v>
      </c>
      <c r="C557" s="1" t="str">
        <f>"865-0055"</f>
        <v>865-0055</v>
      </c>
      <c r="D557" s="1" t="s">
        <v>671</v>
      </c>
      <c r="E557" s="1" t="str">
        <f>"0968760159    "</f>
        <v xml:space="preserve">0968760159    </v>
      </c>
      <c r="F557" s="1" t="str">
        <f>"医療法人若宮会"</f>
        <v>医療法人若宮会</v>
      </c>
      <c r="G557" s="1" t="str">
        <f>"H01.04.01"</f>
        <v>H01.04.01</v>
      </c>
      <c r="H557" s="1" t="str">
        <f t="shared" si="29"/>
        <v>開設中</v>
      </c>
      <c r="I557" s="1">
        <v>0</v>
      </c>
      <c r="J557" s="1">
        <v>0</v>
      </c>
      <c r="K557" s="1">
        <v>0</v>
      </c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>
        <v>1</v>
      </c>
      <c r="AO557" s="2"/>
      <c r="AP557" s="2"/>
      <c r="AQ557" s="2"/>
      <c r="AR557" s="2"/>
      <c r="AS557" s="2"/>
      <c r="AT557" s="2"/>
      <c r="AU557" s="2"/>
      <c r="AV557" s="2"/>
      <c r="AW557" s="2"/>
      <c r="AX557" s="1"/>
    </row>
    <row r="558" spans="1:50" x14ac:dyDescent="0.4">
      <c r="A558" s="1" t="str">
        <f t="shared" si="30"/>
        <v>有明</v>
      </c>
      <c r="B558" s="1" t="str">
        <f>"木下皮ふ科クリニック"</f>
        <v>木下皮ふ科クリニック</v>
      </c>
      <c r="C558" s="1" t="str">
        <f>"865-0065"</f>
        <v>865-0065</v>
      </c>
      <c r="D558" s="1" t="s">
        <v>672</v>
      </c>
      <c r="E558" s="1" t="str">
        <f>"0968768788    "</f>
        <v xml:space="preserve">0968768788    </v>
      </c>
      <c r="F558" s="1" t="str">
        <f>"医療法人社団京桃会"</f>
        <v>医療法人社団京桃会</v>
      </c>
      <c r="G558" s="1" t="str">
        <f>"H15.06.09"</f>
        <v>H15.06.09</v>
      </c>
      <c r="H558" s="1" t="str">
        <f t="shared" si="29"/>
        <v>開設中</v>
      </c>
      <c r="I558" s="1">
        <v>0</v>
      </c>
      <c r="J558" s="1">
        <v>0</v>
      </c>
      <c r="K558" s="1">
        <v>0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>
        <v>1</v>
      </c>
      <c r="AA558" s="2"/>
      <c r="AB558" s="2"/>
      <c r="AC558" s="2"/>
      <c r="AD558" s="2"/>
      <c r="AE558" s="2"/>
      <c r="AF558" s="2"/>
      <c r="AG558" s="2"/>
      <c r="AH558" s="2"/>
      <c r="AI558" s="2">
        <v>1</v>
      </c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1"/>
    </row>
    <row r="559" spans="1:50" x14ac:dyDescent="0.4">
      <c r="A559" s="1" t="str">
        <f t="shared" si="30"/>
        <v>有明</v>
      </c>
      <c r="B559" s="1" t="str">
        <f>"熊本県有明保健所"</f>
        <v>熊本県有明保健所</v>
      </c>
      <c r="C559" s="1" t="str">
        <f>"865-0016"</f>
        <v>865-0016</v>
      </c>
      <c r="D559" s="1" t="s">
        <v>673</v>
      </c>
      <c r="E559" s="1" t="str">
        <f>"0968722184    "</f>
        <v xml:space="preserve">0968722184    </v>
      </c>
      <c r="F559" s="1" t="str">
        <f>"熊本県"</f>
        <v>熊本県</v>
      </c>
      <c r="G559" s="1" t="str">
        <f>"S52.12.01"</f>
        <v>S52.12.01</v>
      </c>
      <c r="H559" s="1" t="str">
        <f t="shared" si="29"/>
        <v>開設中</v>
      </c>
      <c r="I559" s="1">
        <v>0</v>
      </c>
      <c r="J559" s="1">
        <v>0</v>
      </c>
      <c r="K559" s="1">
        <v>0</v>
      </c>
      <c r="L559" s="2">
        <v>1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1"/>
    </row>
    <row r="560" spans="1:50" x14ac:dyDescent="0.4">
      <c r="A560" s="1" t="str">
        <f t="shared" si="30"/>
        <v>有明</v>
      </c>
      <c r="B560" s="1" t="str">
        <f>"And坂本女性クリニック"</f>
        <v>And坂本女性クリニック</v>
      </c>
      <c r="C560" s="1" t="str">
        <f>"865-0025"</f>
        <v>865-0025</v>
      </c>
      <c r="D560" s="1" t="s">
        <v>674</v>
      </c>
      <c r="E560" s="1" t="str">
        <f>"0968742045    "</f>
        <v xml:space="preserve">0968742045    </v>
      </c>
      <c r="F560" s="1" t="str">
        <f>"医療法人坂本会"</f>
        <v>医療法人坂本会</v>
      </c>
      <c r="G560" s="1" t="str">
        <f>"H07.07.01"</f>
        <v>H07.07.01</v>
      </c>
      <c r="H560" s="1" t="str">
        <f t="shared" si="29"/>
        <v>開設中</v>
      </c>
      <c r="I560" s="1">
        <v>16</v>
      </c>
      <c r="J560" s="1">
        <v>16</v>
      </c>
      <c r="K560" s="1">
        <v>0</v>
      </c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>
        <v>1</v>
      </c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1"/>
    </row>
    <row r="561" spans="1:50" x14ac:dyDescent="0.4">
      <c r="A561" s="1" t="str">
        <f t="shared" si="30"/>
        <v>有明</v>
      </c>
      <c r="B561" s="1" t="str">
        <f>"特別養護老人ホームさくら苑"</f>
        <v>特別養護老人ホームさくら苑</v>
      </c>
      <c r="C561" s="1" t="str">
        <f>"865-0041"</f>
        <v>865-0041</v>
      </c>
      <c r="D561" s="1" t="s">
        <v>675</v>
      </c>
      <c r="E561" s="1" t="str">
        <f>"0968751139    "</f>
        <v xml:space="preserve">0968751139    </v>
      </c>
      <c r="F561" s="1" t="str">
        <f>"社会福祉法人玉寿会"</f>
        <v>社会福祉法人玉寿会</v>
      </c>
      <c r="G561" s="1" t="str">
        <f>"H10.04.20"</f>
        <v>H10.04.20</v>
      </c>
      <c r="H561" s="1" t="str">
        <f t="shared" si="29"/>
        <v>開設中</v>
      </c>
      <c r="I561" s="1">
        <v>0</v>
      </c>
      <c r="J561" s="1">
        <v>0</v>
      </c>
      <c r="K561" s="1">
        <v>0</v>
      </c>
      <c r="L561" s="2">
        <v>1</v>
      </c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1"/>
    </row>
    <row r="562" spans="1:50" x14ac:dyDescent="0.4">
      <c r="A562" s="1" t="str">
        <f t="shared" si="30"/>
        <v>有明</v>
      </c>
      <c r="B562" s="1" t="str">
        <f>"下川産婦人科医院"</f>
        <v>下川産婦人科医院</v>
      </c>
      <c r="C562" s="1" t="str">
        <f>"865-0064"</f>
        <v>865-0064</v>
      </c>
      <c r="D562" s="1" t="s">
        <v>676</v>
      </c>
      <c r="E562" s="1" t="str">
        <f>"0968733527    "</f>
        <v xml:space="preserve">0968733527    </v>
      </c>
      <c r="F562" s="1" t="str">
        <f>"下川　研一"</f>
        <v>下川　研一</v>
      </c>
      <c r="G562" s="1" t="str">
        <f>"H05.04.01"</f>
        <v>H05.04.01</v>
      </c>
      <c r="H562" s="1" t="str">
        <f t="shared" si="29"/>
        <v>開設中</v>
      </c>
      <c r="I562" s="1">
        <v>0</v>
      </c>
      <c r="J562" s="1">
        <v>0</v>
      </c>
      <c r="K562" s="1">
        <v>0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>
        <v>1</v>
      </c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1"/>
    </row>
    <row r="563" spans="1:50" x14ac:dyDescent="0.4">
      <c r="A563" s="1" t="str">
        <f t="shared" si="30"/>
        <v>有明</v>
      </c>
      <c r="B563" s="1" t="str">
        <f>"特別養護老人ホーム岱山苑診療所"</f>
        <v>特別養護老人ホーム岱山苑診療所</v>
      </c>
      <c r="C563" s="1" t="str">
        <f>"865-0065"</f>
        <v>865-0065</v>
      </c>
      <c r="D563" s="1" t="s">
        <v>677</v>
      </c>
      <c r="E563" s="1" t="str">
        <f>"0968743361    "</f>
        <v xml:space="preserve">0968743361    </v>
      </c>
      <c r="F563" s="1" t="str">
        <f>"社会福祉法人浩風会"</f>
        <v>社会福祉法人浩風会</v>
      </c>
      <c r="G563" s="1" t="str">
        <f>"S55.05.15"</f>
        <v>S55.05.15</v>
      </c>
      <c r="H563" s="1" t="str">
        <f t="shared" si="29"/>
        <v>開設中</v>
      </c>
      <c r="I563" s="1">
        <v>0</v>
      </c>
      <c r="J563" s="1">
        <v>0</v>
      </c>
      <c r="K563" s="1">
        <v>0</v>
      </c>
      <c r="L563" s="2">
        <v>1</v>
      </c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1"/>
    </row>
    <row r="564" spans="1:50" x14ac:dyDescent="0.4">
      <c r="A564" s="1" t="str">
        <f t="shared" si="30"/>
        <v>有明</v>
      </c>
      <c r="B564" s="1" t="str">
        <f>"たまきな診療所"</f>
        <v>たまきな診療所</v>
      </c>
      <c r="C564" s="1" t="str">
        <f>"865-0005"</f>
        <v>865-0005</v>
      </c>
      <c r="D564" s="1" t="s">
        <v>678</v>
      </c>
      <c r="E564" s="1" t="str">
        <f>"0968733337    "</f>
        <v xml:space="preserve">0968733337    </v>
      </c>
      <c r="F564" s="1" t="str">
        <f>"社会福祉法人玉医会"</f>
        <v>社会福祉法人玉医会</v>
      </c>
      <c r="G564" s="1" t="str">
        <f>"S47.09.05"</f>
        <v>S47.09.05</v>
      </c>
      <c r="H564" s="1" t="str">
        <f t="shared" si="29"/>
        <v>開設中</v>
      </c>
      <c r="I564" s="1">
        <v>0</v>
      </c>
      <c r="J564" s="1">
        <v>0</v>
      </c>
      <c r="K564" s="1">
        <v>0</v>
      </c>
      <c r="L564" s="2">
        <v>1</v>
      </c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1"/>
    </row>
    <row r="565" spans="1:50" x14ac:dyDescent="0.4">
      <c r="A565" s="1" t="str">
        <f t="shared" si="30"/>
        <v>有明</v>
      </c>
      <c r="B565" s="1" t="str">
        <f>"玉名第一クリニック"</f>
        <v>玉名第一クリニック</v>
      </c>
      <c r="C565" s="1" t="str">
        <f>"865-0065"</f>
        <v>865-0065</v>
      </c>
      <c r="D565" s="1" t="s">
        <v>679</v>
      </c>
      <c r="E565" s="1" t="str">
        <f>"0968724165    "</f>
        <v xml:space="preserve">0968724165    </v>
      </c>
      <c r="F565" s="1" t="str">
        <f>"医療法人玉和会"</f>
        <v>医療法人玉和会</v>
      </c>
      <c r="G565" s="1" t="str">
        <f>"H02.03.01"</f>
        <v>H02.03.01</v>
      </c>
      <c r="H565" s="1" t="str">
        <f t="shared" si="29"/>
        <v>開設中</v>
      </c>
      <c r="I565" s="1">
        <v>0</v>
      </c>
      <c r="J565" s="1">
        <v>0</v>
      </c>
      <c r="K565" s="1">
        <v>0</v>
      </c>
      <c r="L565" s="2">
        <v>1</v>
      </c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1"/>
    </row>
    <row r="566" spans="1:50" x14ac:dyDescent="0.4">
      <c r="A566" s="1" t="str">
        <f t="shared" si="30"/>
        <v>有明</v>
      </c>
      <c r="B566" s="1" t="str">
        <f>"玉名泌尿器科クリニック"</f>
        <v>玉名泌尿器科クリニック</v>
      </c>
      <c r="C566" s="1" t="str">
        <f>"865-0016"</f>
        <v>865-0016</v>
      </c>
      <c r="D566" s="1" t="s">
        <v>680</v>
      </c>
      <c r="E566" s="1" t="str">
        <f>"0968743272    "</f>
        <v xml:space="preserve">0968743272    </v>
      </c>
      <c r="F566" s="1" t="str">
        <f>"医療法人育史会"</f>
        <v>医療法人育史会</v>
      </c>
      <c r="G566" s="1" t="str">
        <f>"H16.08.01"</f>
        <v>H16.08.01</v>
      </c>
      <c r="H566" s="1" t="str">
        <f t="shared" si="29"/>
        <v>開設中</v>
      </c>
      <c r="I566" s="1">
        <v>0</v>
      </c>
      <c r="J566" s="1">
        <v>0</v>
      </c>
      <c r="K566" s="1">
        <v>0</v>
      </c>
      <c r="L566" s="2">
        <v>1</v>
      </c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>
        <v>1</v>
      </c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1"/>
    </row>
    <row r="567" spans="1:50" x14ac:dyDescent="0.4">
      <c r="A567" s="1" t="str">
        <f t="shared" si="30"/>
        <v>有明</v>
      </c>
      <c r="B567" s="1" t="str">
        <f>"TOPPANグループ健康保健組合熊本診療所"</f>
        <v>TOPPANグループ健康保健組合熊本診療所</v>
      </c>
      <c r="C567" s="1" t="str">
        <f>"865-0041"</f>
        <v>865-0041</v>
      </c>
      <c r="D567" s="1" t="s">
        <v>681</v>
      </c>
      <c r="E567" s="1" t="str">
        <f>"0968732191    "</f>
        <v xml:space="preserve">0968732191    </v>
      </c>
      <c r="F567" s="1" t="str">
        <f>"TOPPANグループ健康保険組合"</f>
        <v>TOPPANグループ健康保険組合</v>
      </c>
      <c r="G567" s="1" t="str">
        <f>"H01.10.11"</f>
        <v>H01.10.11</v>
      </c>
      <c r="H567" s="1" t="str">
        <f t="shared" si="29"/>
        <v>開設中</v>
      </c>
      <c r="I567" s="1">
        <v>0</v>
      </c>
      <c r="J567" s="1">
        <v>0</v>
      </c>
      <c r="K567" s="1">
        <v>0</v>
      </c>
      <c r="L567" s="2">
        <v>1</v>
      </c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1"/>
    </row>
    <row r="568" spans="1:50" x14ac:dyDescent="0.4">
      <c r="A568" s="1" t="str">
        <f t="shared" si="30"/>
        <v>有明</v>
      </c>
      <c r="B568" s="1" t="str">
        <f>"TOPPANグループ健康保健組合玉名大倉診療所"</f>
        <v>TOPPANグループ健康保健組合玉名大倉診療所</v>
      </c>
      <c r="C568" s="1" t="str">
        <f>"865-0023"</f>
        <v>865-0023</v>
      </c>
      <c r="D568" s="1" t="s">
        <v>682</v>
      </c>
      <c r="E568" s="1" t="str">
        <f>"0968732344    "</f>
        <v xml:space="preserve">0968732344    </v>
      </c>
      <c r="F568" s="1" t="str">
        <f>"TOPPANグループ健康保険組合"</f>
        <v>TOPPANグループ健康保険組合</v>
      </c>
      <c r="G568" s="1" t="str">
        <f>"S51.04.05"</f>
        <v>S51.04.05</v>
      </c>
      <c r="H568" s="1" t="str">
        <f t="shared" si="29"/>
        <v>開設中</v>
      </c>
      <c r="I568" s="1">
        <v>0</v>
      </c>
      <c r="J568" s="1">
        <v>0</v>
      </c>
      <c r="K568" s="1">
        <v>0</v>
      </c>
      <c r="L568" s="2">
        <v>1</v>
      </c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1"/>
    </row>
    <row r="569" spans="1:50" x14ac:dyDescent="0.4">
      <c r="A569" s="1" t="str">
        <f t="shared" si="30"/>
        <v>有明</v>
      </c>
      <c r="B569" s="1" t="str">
        <f>"永田皮膚科医院"</f>
        <v>永田皮膚科医院</v>
      </c>
      <c r="C569" s="1" t="str">
        <f>"865-0064"</f>
        <v>865-0064</v>
      </c>
      <c r="D569" s="1" t="s">
        <v>683</v>
      </c>
      <c r="E569" s="1" t="str">
        <f>"0968741566    "</f>
        <v xml:space="preserve">0968741566    </v>
      </c>
      <c r="F569" s="1" t="str">
        <f>"医療法人三精会"</f>
        <v>医療法人三精会</v>
      </c>
      <c r="G569" s="1" t="str">
        <f>"H09.06.02"</f>
        <v>H09.06.02</v>
      </c>
      <c r="H569" s="1" t="str">
        <f t="shared" si="29"/>
        <v>開設中</v>
      </c>
      <c r="I569" s="1">
        <v>0</v>
      </c>
      <c r="J569" s="1">
        <v>0</v>
      </c>
      <c r="K569" s="1">
        <v>0</v>
      </c>
      <c r="L569" s="2"/>
      <c r="M569" s="2"/>
      <c r="N569" s="2"/>
      <c r="O569" s="2"/>
      <c r="P569" s="2"/>
      <c r="Q569" s="2"/>
      <c r="R569" s="2"/>
      <c r="S569" s="2"/>
      <c r="T569" s="2"/>
      <c r="U569" s="2">
        <v>1</v>
      </c>
      <c r="V569" s="2"/>
      <c r="W569" s="2"/>
      <c r="X569" s="2"/>
      <c r="Y569" s="2"/>
      <c r="Z569" s="2">
        <v>1</v>
      </c>
      <c r="AA569" s="2"/>
      <c r="AB569" s="2"/>
      <c r="AC569" s="2"/>
      <c r="AD569" s="2"/>
      <c r="AE569" s="2"/>
      <c r="AF569" s="2"/>
      <c r="AG569" s="2"/>
      <c r="AH569" s="2"/>
      <c r="AI569" s="2">
        <v>1</v>
      </c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1"/>
    </row>
    <row r="570" spans="1:50" x14ac:dyDescent="0.4">
      <c r="A570" s="1" t="str">
        <f t="shared" si="30"/>
        <v>有明</v>
      </c>
      <c r="B570" s="1" t="str">
        <f>"平山整形外科医院"</f>
        <v>平山整形外科医院</v>
      </c>
      <c r="C570" s="1" t="str">
        <f>"865-0061"</f>
        <v>865-0061</v>
      </c>
      <c r="D570" s="1" t="s">
        <v>684</v>
      </c>
      <c r="E570" s="1" t="str">
        <f>"0968724000    "</f>
        <v xml:space="preserve">0968724000    </v>
      </c>
      <c r="F570" s="1" t="str">
        <f>"医療法人社団清明会"</f>
        <v>医療法人社団清明会</v>
      </c>
      <c r="G570" s="1" t="str">
        <f>"H02.09.07"</f>
        <v>H02.09.07</v>
      </c>
      <c r="H570" s="1" t="str">
        <f t="shared" si="29"/>
        <v>開設中</v>
      </c>
      <c r="I570" s="1">
        <v>0</v>
      </c>
      <c r="J570" s="1">
        <v>0</v>
      </c>
      <c r="K570" s="1">
        <v>0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>
        <v>1</v>
      </c>
      <c r="W570" s="2"/>
      <c r="X570" s="2"/>
      <c r="Y570" s="2">
        <v>1</v>
      </c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>
        <v>1</v>
      </c>
      <c r="AR570" s="2"/>
      <c r="AS570" s="2"/>
      <c r="AT570" s="2"/>
      <c r="AU570" s="2"/>
      <c r="AV570" s="2"/>
      <c r="AW570" s="2"/>
      <c r="AX570" s="1"/>
    </row>
    <row r="571" spans="1:50" x14ac:dyDescent="0.4">
      <c r="A571" s="1" t="str">
        <f t="shared" si="30"/>
        <v>有明</v>
      </c>
      <c r="B571" s="1" t="str">
        <f>"福島眼科医院"</f>
        <v>福島眼科医院</v>
      </c>
      <c r="C571" s="1" t="str">
        <f>"865-0025"</f>
        <v>865-0025</v>
      </c>
      <c r="D571" s="1" t="s">
        <v>685</v>
      </c>
      <c r="E571" s="1" t="str">
        <f>"0968723016    "</f>
        <v xml:space="preserve">0968723016    </v>
      </c>
      <c r="F571" s="1" t="str">
        <f>"医療法人福島眼科医院"</f>
        <v>医療法人福島眼科医院</v>
      </c>
      <c r="G571" s="1" t="str">
        <f>"H06.04.01"</f>
        <v>H06.04.01</v>
      </c>
      <c r="H571" s="1" t="str">
        <f t="shared" si="29"/>
        <v>開設中</v>
      </c>
      <c r="I571" s="1">
        <v>17</v>
      </c>
      <c r="J571" s="1">
        <v>17</v>
      </c>
      <c r="K571" s="1">
        <v>0</v>
      </c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>
        <v>1</v>
      </c>
      <c r="AO571" s="2"/>
      <c r="AP571" s="2"/>
      <c r="AQ571" s="2"/>
      <c r="AR571" s="2"/>
      <c r="AS571" s="2"/>
      <c r="AT571" s="2"/>
      <c r="AU571" s="2"/>
      <c r="AV571" s="2"/>
      <c r="AW571" s="2"/>
      <c r="AX571" s="1"/>
    </row>
    <row r="572" spans="1:50" x14ac:dyDescent="0.4">
      <c r="A572" s="1" t="str">
        <f t="shared" si="30"/>
        <v>有明</v>
      </c>
      <c r="B572" s="1" t="str">
        <f>"前田小児科医院"</f>
        <v>前田小児科医院</v>
      </c>
      <c r="C572" s="1" t="str">
        <f>"865-0061"</f>
        <v>865-0061</v>
      </c>
      <c r="D572" s="1" t="s">
        <v>686</v>
      </c>
      <c r="E572" s="1" t="str">
        <f>"0968741333    "</f>
        <v xml:space="preserve">0968741333    </v>
      </c>
      <c r="F572" s="1" t="str">
        <f>"医療法人社団　一心会前田小児科医院"</f>
        <v>医療法人社団　一心会前田小児科医院</v>
      </c>
      <c r="G572" s="1" t="str">
        <f>"H01.04.01"</f>
        <v>H01.04.01</v>
      </c>
      <c r="H572" s="1" t="str">
        <f t="shared" si="29"/>
        <v>開設中</v>
      </c>
      <c r="I572" s="1">
        <v>0</v>
      </c>
      <c r="J572" s="1">
        <v>0</v>
      </c>
      <c r="K572" s="1">
        <v>0</v>
      </c>
      <c r="L572" s="2"/>
      <c r="M572" s="2"/>
      <c r="N572" s="2"/>
      <c r="O572" s="2"/>
      <c r="P572" s="2"/>
      <c r="Q572" s="2"/>
      <c r="R572" s="2"/>
      <c r="S572" s="2"/>
      <c r="T572" s="2"/>
      <c r="U572" s="2">
        <v>1</v>
      </c>
      <c r="V572" s="2"/>
      <c r="W572" s="2">
        <v>1</v>
      </c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1"/>
    </row>
    <row r="573" spans="1:50" x14ac:dyDescent="0.4">
      <c r="A573" s="1" t="str">
        <f t="shared" si="30"/>
        <v>有明</v>
      </c>
      <c r="B573" s="1" t="str">
        <f>"まつおクリニック"</f>
        <v>まつおクリニック</v>
      </c>
      <c r="C573" s="1" t="str">
        <f>"865-0066"</f>
        <v>865-0066</v>
      </c>
      <c r="D573" s="1" t="s">
        <v>687</v>
      </c>
      <c r="E573" s="1" t="str">
        <f>"0968732800    "</f>
        <v xml:space="preserve">0968732800    </v>
      </c>
      <c r="F573" s="1" t="str">
        <f>"医療法人社団あすなろ会"</f>
        <v>医療法人社団あすなろ会</v>
      </c>
      <c r="G573" s="1" t="str">
        <f>"H09.12.01"</f>
        <v>H09.12.01</v>
      </c>
      <c r="H573" s="1" t="str">
        <f t="shared" si="29"/>
        <v>開設中</v>
      </c>
      <c r="I573" s="1">
        <v>0</v>
      </c>
      <c r="J573" s="1">
        <v>0</v>
      </c>
      <c r="K573" s="1">
        <v>0</v>
      </c>
      <c r="L573" s="2"/>
      <c r="M573" s="2"/>
      <c r="N573" s="2"/>
      <c r="O573" s="2"/>
      <c r="P573" s="2"/>
      <c r="Q573" s="2"/>
      <c r="R573" s="2"/>
      <c r="S573" s="2">
        <v>1</v>
      </c>
      <c r="T573" s="2"/>
      <c r="U573" s="2"/>
      <c r="V573" s="2"/>
      <c r="W573" s="2"/>
      <c r="X573" s="2">
        <v>1</v>
      </c>
      <c r="Y573" s="2"/>
      <c r="Z573" s="2"/>
      <c r="AA573" s="2"/>
      <c r="AB573" s="2"/>
      <c r="AC573" s="2"/>
      <c r="AD573" s="2"/>
      <c r="AE573" s="2"/>
      <c r="AF573" s="2"/>
      <c r="AG573" s="2">
        <v>1</v>
      </c>
      <c r="AH573" s="2"/>
      <c r="AI573" s="2"/>
      <c r="AJ573" s="2"/>
      <c r="AK573" s="2"/>
      <c r="AL573" s="2"/>
      <c r="AM573" s="2"/>
      <c r="AN573" s="2"/>
      <c r="AO573" s="2"/>
      <c r="AP573" s="2"/>
      <c r="AQ573" s="2">
        <v>1</v>
      </c>
      <c r="AR573" s="2"/>
      <c r="AS573" s="2"/>
      <c r="AT573" s="2"/>
      <c r="AU573" s="2"/>
      <c r="AV573" s="2"/>
      <c r="AW573" s="2">
        <v>1</v>
      </c>
      <c r="AX573" s="1"/>
    </row>
    <row r="574" spans="1:50" x14ac:dyDescent="0.4">
      <c r="A574" s="1" t="str">
        <f t="shared" si="30"/>
        <v>有明</v>
      </c>
      <c r="B574" s="1" t="str">
        <f>"本里内科医院"</f>
        <v>本里内科医院</v>
      </c>
      <c r="C574" s="1" t="str">
        <f>"865-0023"</f>
        <v>865-0023</v>
      </c>
      <c r="D574" s="1" t="s">
        <v>688</v>
      </c>
      <c r="E574" s="1" t="str">
        <f>"0968722352    "</f>
        <v xml:space="preserve">0968722352    </v>
      </c>
      <c r="F574" s="1" t="str">
        <f>"本里　秀俊"</f>
        <v>本里　秀俊</v>
      </c>
      <c r="G574" s="1" t="str">
        <f>"H03.07.16"</f>
        <v>H03.07.16</v>
      </c>
      <c r="H574" s="1" t="str">
        <f t="shared" si="29"/>
        <v>開設中</v>
      </c>
      <c r="I574" s="1">
        <v>0</v>
      </c>
      <c r="J574" s="1">
        <v>0</v>
      </c>
      <c r="K574" s="1">
        <v>0</v>
      </c>
      <c r="L574" s="2">
        <v>1</v>
      </c>
      <c r="M574" s="2"/>
      <c r="N574" s="2"/>
      <c r="O574" s="2"/>
      <c r="P574" s="2"/>
      <c r="Q574" s="2"/>
      <c r="R574" s="2"/>
      <c r="S574" s="2">
        <v>1</v>
      </c>
      <c r="T574" s="2"/>
      <c r="U574" s="2"/>
      <c r="V574" s="2"/>
      <c r="W574" s="2">
        <v>1</v>
      </c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1"/>
    </row>
    <row r="575" spans="1:50" x14ac:dyDescent="0.4">
      <c r="A575" s="1" t="str">
        <f t="shared" si="30"/>
        <v>有明</v>
      </c>
      <c r="B575" s="1" t="str">
        <f>"山本眼科"</f>
        <v>山本眼科</v>
      </c>
      <c r="C575" s="1" t="str">
        <f>"865-0015"</f>
        <v>865-0015</v>
      </c>
      <c r="D575" s="1" t="s">
        <v>689</v>
      </c>
      <c r="E575" s="1" t="str">
        <f>"0968722207    "</f>
        <v xml:space="preserve">0968722207    </v>
      </c>
      <c r="F575" s="1" t="str">
        <f>"医療法人直親会"</f>
        <v>医療法人直親会</v>
      </c>
      <c r="G575" s="1" t="str">
        <f>"H01.04.01"</f>
        <v>H01.04.01</v>
      </c>
      <c r="H575" s="1" t="str">
        <f t="shared" si="29"/>
        <v>開設中</v>
      </c>
      <c r="I575" s="1">
        <v>0</v>
      </c>
      <c r="J575" s="1">
        <v>0</v>
      </c>
      <c r="K575" s="1">
        <v>0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>
        <v>1</v>
      </c>
      <c r="AO575" s="2"/>
      <c r="AP575" s="2"/>
      <c r="AQ575" s="2"/>
      <c r="AR575" s="2"/>
      <c r="AS575" s="2"/>
      <c r="AT575" s="2"/>
      <c r="AU575" s="2"/>
      <c r="AV575" s="2"/>
      <c r="AW575" s="2"/>
      <c r="AX575" s="1"/>
    </row>
    <row r="576" spans="1:50" x14ac:dyDescent="0.4">
      <c r="A576" s="1" t="str">
        <f t="shared" si="30"/>
        <v>有明</v>
      </c>
      <c r="B576" s="1" t="str">
        <f>"吉田医院"</f>
        <v>吉田医院</v>
      </c>
      <c r="C576" s="1" t="str">
        <f>"865-0051"</f>
        <v>865-0051</v>
      </c>
      <c r="D576" s="1" t="s">
        <v>690</v>
      </c>
      <c r="E576" s="1" t="str">
        <f>"0968735100    "</f>
        <v xml:space="preserve">0968735100    </v>
      </c>
      <c r="F576" s="1" t="str">
        <f>"吉田　一成"</f>
        <v>吉田　一成</v>
      </c>
      <c r="G576" s="1" t="str">
        <f>"S58.12.25"</f>
        <v>S58.12.25</v>
      </c>
      <c r="H576" s="1" t="str">
        <f t="shared" si="29"/>
        <v>開設中</v>
      </c>
      <c r="I576" s="1">
        <v>0</v>
      </c>
      <c r="J576" s="1">
        <v>0</v>
      </c>
      <c r="K576" s="1">
        <v>0</v>
      </c>
      <c r="L576" s="2">
        <v>1</v>
      </c>
      <c r="M576" s="2"/>
      <c r="N576" s="2"/>
      <c r="O576" s="2"/>
      <c r="P576" s="2"/>
      <c r="Q576" s="2"/>
      <c r="R576" s="2"/>
      <c r="S576" s="2">
        <v>1</v>
      </c>
      <c r="T576" s="2"/>
      <c r="U576" s="2"/>
      <c r="V576" s="2"/>
      <c r="W576" s="2"/>
      <c r="X576" s="2">
        <v>1</v>
      </c>
      <c r="Y576" s="2">
        <v>1</v>
      </c>
      <c r="Z576" s="2"/>
      <c r="AA576" s="2"/>
      <c r="AB576" s="2"/>
      <c r="AC576" s="2"/>
      <c r="AD576" s="2"/>
      <c r="AE576" s="2"/>
      <c r="AF576" s="2"/>
      <c r="AG576" s="2">
        <v>1</v>
      </c>
      <c r="AH576" s="2"/>
      <c r="AI576" s="2"/>
      <c r="AJ576" s="2"/>
      <c r="AK576" s="2"/>
      <c r="AL576" s="2"/>
      <c r="AM576" s="2"/>
      <c r="AN576" s="2"/>
      <c r="AO576" s="2"/>
      <c r="AP576" s="2"/>
      <c r="AQ576" s="2">
        <v>1</v>
      </c>
      <c r="AR576" s="2"/>
      <c r="AS576" s="2"/>
      <c r="AT576" s="2"/>
      <c r="AU576" s="2"/>
      <c r="AV576" s="2"/>
      <c r="AW576" s="2"/>
      <c r="AX576" s="1"/>
    </row>
    <row r="577" spans="1:50" x14ac:dyDescent="0.4">
      <c r="A577" s="1" t="str">
        <f t="shared" si="30"/>
        <v>有明</v>
      </c>
      <c r="B577" s="1" t="str">
        <f>"由富医院"</f>
        <v>由富医院</v>
      </c>
      <c r="C577" s="1" t="str">
        <f>"865-0064"</f>
        <v>865-0064</v>
      </c>
      <c r="D577" s="1" t="s">
        <v>691</v>
      </c>
      <c r="E577" s="1" t="str">
        <f>"0968741600    "</f>
        <v xml:space="preserve">0968741600    </v>
      </c>
      <c r="F577" s="1" t="str">
        <f>"医療法人　玉章会"</f>
        <v>医療法人　玉章会</v>
      </c>
      <c r="G577" s="1" t="str">
        <f>"H16.09.01"</f>
        <v>H16.09.01</v>
      </c>
      <c r="H577" s="1" t="str">
        <f t="shared" si="29"/>
        <v>開設中</v>
      </c>
      <c r="I577" s="1">
        <v>0</v>
      </c>
      <c r="J577" s="1">
        <v>0</v>
      </c>
      <c r="K577" s="1">
        <v>0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>
        <v>1</v>
      </c>
      <c r="AO577" s="2"/>
      <c r="AP577" s="2"/>
      <c r="AQ577" s="2"/>
      <c r="AR577" s="2"/>
      <c r="AS577" s="2"/>
      <c r="AT577" s="2"/>
      <c r="AU577" s="2"/>
      <c r="AV577" s="2"/>
      <c r="AW577" s="2"/>
      <c r="AX577" s="1"/>
    </row>
    <row r="578" spans="1:50" x14ac:dyDescent="0.4">
      <c r="A578" s="1" t="str">
        <f t="shared" si="30"/>
        <v>有明</v>
      </c>
      <c r="B578" s="1" t="str">
        <f>"坂田内科医院"</f>
        <v>坂田内科医院</v>
      </c>
      <c r="C578" s="1" t="str">
        <f>"869-0202"</f>
        <v>869-0202</v>
      </c>
      <c r="D578" s="1" t="s">
        <v>692</v>
      </c>
      <c r="E578" s="1" t="str">
        <f>"0968668600    "</f>
        <v xml:space="preserve">0968668600    </v>
      </c>
      <c r="F578" s="1" t="str">
        <f>"坂田哲宣"</f>
        <v>坂田哲宣</v>
      </c>
      <c r="G578" s="1" t="str">
        <f>"H13.08.17"</f>
        <v>H13.08.17</v>
      </c>
      <c r="H578" s="1" t="str">
        <f t="shared" si="29"/>
        <v>開設中</v>
      </c>
      <c r="I578" s="1">
        <v>0</v>
      </c>
      <c r="J578" s="1">
        <v>0</v>
      </c>
      <c r="K578" s="1">
        <v>0</v>
      </c>
      <c r="L578" s="2">
        <v>1</v>
      </c>
      <c r="M578" s="2"/>
      <c r="N578" s="2"/>
      <c r="O578" s="2"/>
      <c r="P578" s="2"/>
      <c r="Q578" s="2">
        <v>1</v>
      </c>
      <c r="R578" s="2">
        <v>1</v>
      </c>
      <c r="S578" s="2"/>
      <c r="T578" s="2"/>
      <c r="U578" s="2"/>
      <c r="V578" s="2"/>
      <c r="W578" s="2">
        <v>1</v>
      </c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1"/>
    </row>
    <row r="579" spans="1:50" x14ac:dyDescent="0.4">
      <c r="A579" s="1" t="str">
        <f t="shared" si="30"/>
        <v>有明</v>
      </c>
      <c r="B579" s="1" t="str">
        <f>"岱明苑診療所"</f>
        <v>岱明苑診療所</v>
      </c>
      <c r="C579" s="1" t="str">
        <f>"869-0233"</f>
        <v>869-0233</v>
      </c>
      <c r="D579" s="1" t="s">
        <v>693</v>
      </c>
      <c r="E579" s="1" t="str">
        <f>"0968571220    "</f>
        <v xml:space="preserve">0968571220    </v>
      </c>
      <c r="F579" s="1" t="str">
        <f>"社会福祉法人熊本東翔会"</f>
        <v>社会福祉法人熊本東翔会</v>
      </c>
      <c r="G579" s="1" t="str">
        <f>"H06.04.21"</f>
        <v>H06.04.21</v>
      </c>
      <c r="H579" s="1" t="str">
        <f t="shared" si="29"/>
        <v>開設中</v>
      </c>
      <c r="I579" s="1">
        <v>0</v>
      </c>
      <c r="J579" s="1">
        <v>0</v>
      </c>
      <c r="K579" s="1">
        <v>0</v>
      </c>
      <c r="L579" s="2">
        <v>1</v>
      </c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1"/>
    </row>
    <row r="580" spans="1:50" x14ac:dyDescent="0.4">
      <c r="A580" s="1" t="str">
        <f t="shared" si="30"/>
        <v>有明</v>
      </c>
      <c r="B580" s="1" t="str">
        <f>"古庄胃腸科・内科医院"</f>
        <v>古庄胃腸科・内科医院</v>
      </c>
      <c r="C580" s="1" t="str">
        <f>"869-0224"</f>
        <v>869-0224</v>
      </c>
      <c r="D580" s="1" t="s">
        <v>694</v>
      </c>
      <c r="E580" s="1" t="str">
        <f>"0968570013    "</f>
        <v xml:space="preserve">0968570013    </v>
      </c>
      <c r="F580" s="1" t="str">
        <f>"医療法人大精会"</f>
        <v>医療法人大精会</v>
      </c>
      <c r="G580" s="1" t="str">
        <f>"H01.12.01"</f>
        <v>H01.12.01</v>
      </c>
      <c r="H580" s="1" t="str">
        <f t="shared" si="29"/>
        <v>開設中</v>
      </c>
      <c r="I580" s="1">
        <v>15</v>
      </c>
      <c r="J580" s="1">
        <v>15</v>
      </c>
      <c r="K580" s="1">
        <v>0</v>
      </c>
      <c r="L580" s="2">
        <v>1</v>
      </c>
      <c r="M580" s="2"/>
      <c r="N580" s="2"/>
      <c r="O580" s="2"/>
      <c r="P580" s="2"/>
      <c r="Q580" s="2"/>
      <c r="R580" s="2">
        <v>1</v>
      </c>
      <c r="S580" s="2">
        <v>1</v>
      </c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>
        <v>1</v>
      </c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1"/>
    </row>
    <row r="581" spans="1:50" x14ac:dyDescent="0.4">
      <c r="A581" s="1" t="str">
        <f t="shared" si="30"/>
        <v>有明</v>
      </c>
      <c r="B581" s="1" t="str">
        <f>"本田医院"</f>
        <v>本田医院</v>
      </c>
      <c r="C581" s="1" t="str">
        <f>"869-0224"</f>
        <v>869-0224</v>
      </c>
      <c r="D581" s="1" t="s">
        <v>695</v>
      </c>
      <c r="E581" s="1" t="str">
        <f>"0968570012    "</f>
        <v xml:space="preserve">0968570012    </v>
      </c>
      <c r="F581" s="1" t="str">
        <f>"本田　剛"</f>
        <v>本田　剛</v>
      </c>
      <c r="G581" s="1" t="str">
        <f>"H01.04.01"</f>
        <v>H01.04.01</v>
      </c>
      <c r="H581" s="1" t="str">
        <f t="shared" si="29"/>
        <v>開設中</v>
      </c>
      <c r="I581" s="1">
        <v>14</v>
      </c>
      <c r="J581" s="1">
        <v>14</v>
      </c>
      <c r="K581" s="1">
        <v>0</v>
      </c>
      <c r="L581" s="2">
        <v>1</v>
      </c>
      <c r="M581" s="2"/>
      <c r="N581" s="2"/>
      <c r="O581" s="2"/>
      <c r="P581" s="2"/>
      <c r="Q581" s="2"/>
      <c r="R581" s="2"/>
      <c r="S581" s="2"/>
      <c r="T581" s="2">
        <v>1</v>
      </c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1"/>
    </row>
    <row r="582" spans="1:50" x14ac:dyDescent="0.4">
      <c r="A582" s="1" t="str">
        <f t="shared" si="30"/>
        <v>有明</v>
      </c>
      <c r="B582" s="1" t="str">
        <f>"特別養護老人ホーム慈幸苑"</f>
        <v>特別養護老人ホーム慈幸苑</v>
      </c>
      <c r="C582" s="1" t="str">
        <f>"865-0072"</f>
        <v>865-0072</v>
      </c>
      <c r="D582" s="1" t="s">
        <v>696</v>
      </c>
      <c r="E582" s="1" t="str">
        <f>"0968843711    "</f>
        <v xml:space="preserve">0968843711    </v>
      </c>
      <c r="F582" s="1" t="str">
        <f>"社会福祉法人創友会"</f>
        <v>社会福祉法人創友会</v>
      </c>
      <c r="G582" s="1" t="str">
        <f>"H11.04.01"</f>
        <v>H11.04.01</v>
      </c>
      <c r="H582" s="1" t="str">
        <f t="shared" si="29"/>
        <v>開設中</v>
      </c>
      <c r="I582" s="1">
        <v>0</v>
      </c>
      <c r="J582" s="1">
        <v>0</v>
      </c>
      <c r="K582" s="1">
        <v>0</v>
      </c>
      <c r="L582" s="2">
        <v>1</v>
      </c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1"/>
    </row>
    <row r="583" spans="1:50" x14ac:dyDescent="0.4">
      <c r="A583" s="1" t="str">
        <f t="shared" si="30"/>
        <v>有明</v>
      </c>
      <c r="B583" s="1" t="str">
        <f>"しまかわ医院"</f>
        <v>しまかわ医院</v>
      </c>
      <c r="C583" s="1" t="str">
        <f>"865-0072"</f>
        <v>865-0072</v>
      </c>
      <c r="D583" s="1" t="s">
        <v>697</v>
      </c>
      <c r="E583" s="1" t="str">
        <f>"0968843722    "</f>
        <v xml:space="preserve">0968843722    </v>
      </c>
      <c r="F583" s="1" t="str">
        <f>"医療法人明光会"</f>
        <v>医療法人明光会</v>
      </c>
      <c r="G583" s="1" t="str">
        <f>"H10.08.01"</f>
        <v>H10.08.01</v>
      </c>
      <c r="H583" s="1" t="str">
        <f t="shared" si="29"/>
        <v>開設中</v>
      </c>
      <c r="I583" s="1">
        <v>0</v>
      </c>
      <c r="J583" s="1">
        <v>0</v>
      </c>
      <c r="K583" s="1">
        <v>0</v>
      </c>
      <c r="L583" s="2">
        <v>1</v>
      </c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>
        <v>1</v>
      </c>
      <c r="AR583" s="2"/>
      <c r="AS583" s="2"/>
      <c r="AT583" s="2"/>
      <c r="AU583" s="2"/>
      <c r="AV583" s="2"/>
      <c r="AW583" s="2"/>
      <c r="AX583" s="1" t="s">
        <v>104</v>
      </c>
    </row>
    <row r="584" spans="1:50" x14ac:dyDescent="0.4">
      <c r="A584" s="1" t="str">
        <f t="shared" si="30"/>
        <v>有明</v>
      </c>
      <c r="B584" s="1" t="str">
        <f>"安田内科医院"</f>
        <v>安田内科医院</v>
      </c>
      <c r="C584" s="1" t="str">
        <f>"865-0072"</f>
        <v>865-0072</v>
      </c>
      <c r="D584" s="1" t="s">
        <v>698</v>
      </c>
      <c r="E584" s="1" t="str">
        <f>"0968843131    "</f>
        <v xml:space="preserve">0968843131    </v>
      </c>
      <c r="F584" s="1" t="str">
        <f>"医療法人安田会"</f>
        <v>医療法人安田会</v>
      </c>
      <c r="G584" s="1" t="str">
        <f>"H09.01.01"</f>
        <v>H09.01.01</v>
      </c>
      <c r="H584" s="1" t="str">
        <f t="shared" si="29"/>
        <v>開設中</v>
      </c>
      <c r="I584" s="1">
        <v>0</v>
      </c>
      <c r="J584" s="1">
        <v>0</v>
      </c>
      <c r="K584" s="1">
        <v>0</v>
      </c>
      <c r="L584" s="2">
        <v>1</v>
      </c>
      <c r="M584" s="2"/>
      <c r="N584" s="2"/>
      <c r="O584" s="2"/>
      <c r="P584" s="2"/>
      <c r="Q584" s="2">
        <v>1</v>
      </c>
      <c r="R584" s="2">
        <v>1</v>
      </c>
      <c r="S584" s="2"/>
      <c r="T584" s="2">
        <v>1</v>
      </c>
      <c r="U584" s="2">
        <v>1</v>
      </c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>
        <v>1</v>
      </c>
      <c r="AR584" s="2"/>
      <c r="AS584" s="2"/>
      <c r="AT584" s="2"/>
      <c r="AU584" s="2"/>
      <c r="AV584" s="2"/>
      <c r="AW584" s="2"/>
      <c r="AX584" s="1"/>
    </row>
    <row r="585" spans="1:50" x14ac:dyDescent="0.4">
      <c r="A585" s="1" t="str">
        <f t="shared" ref="A585:A616" si="31">"有明"</f>
        <v>有明</v>
      </c>
      <c r="B585" s="1" t="str">
        <f>"吉村循環器科内科医院"</f>
        <v>吉村循環器科内科医院</v>
      </c>
      <c r="C585" s="1" t="str">
        <f>"865-0072"</f>
        <v>865-0072</v>
      </c>
      <c r="D585" s="1" t="s">
        <v>699</v>
      </c>
      <c r="E585" s="1" t="str">
        <f>"0968842765    "</f>
        <v xml:space="preserve">0968842765    </v>
      </c>
      <c r="F585" s="1" t="str">
        <f>"医療法人吉村医院"</f>
        <v>医療法人吉村医院</v>
      </c>
      <c r="G585" s="1" t="str">
        <f>"H06.03.01"</f>
        <v>H06.03.01</v>
      </c>
      <c r="H585" s="1" t="str">
        <f t="shared" si="29"/>
        <v>開設中</v>
      </c>
      <c r="I585" s="1">
        <v>0</v>
      </c>
      <c r="J585" s="1">
        <v>0</v>
      </c>
      <c r="K585" s="1">
        <v>0</v>
      </c>
      <c r="L585" s="2">
        <v>1</v>
      </c>
      <c r="M585" s="2"/>
      <c r="N585" s="2"/>
      <c r="O585" s="2"/>
      <c r="P585" s="2"/>
      <c r="Q585" s="2">
        <v>1</v>
      </c>
      <c r="R585" s="2">
        <v>1</v>
      </c>
      <c r="S585" s="2"/>
      <c r="T585" s="2">
        <v>1</v>
      </c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>
        <v>1</v>
      </c>
      <c r="AS585" s="2"/>
      <c r="AT585" s="2"/>
      <c r="AU585" s="2"/>
      <c r="AV585" s="2"/>
      <c r="AW585" s="2"/>
      <c r="AX585" s="1" t="s">
        <v>105</v>
      </c>
    </row>
    <row r="586" spans="1:50" x14ac:dyDescent="0.4">
      <c r="A586" s="1" t="str">
        <f t="shared" si="31"/>
        <v>有明</v>
      </c>
      <c r="B586" s="1" t="str">
        <f>"有明診療所"</f>
        <v>有明診療所</v>
      </c>
      <c r="C586" s="1" t="str">
        <f>"861-5403"</f>
        <v>861-5403</v>
      </c>
      <c r="D586" s="1" t="s">
        <v>700</v>
      </c>
      <c r="E586" s="1" t="str">
        <f>"0968823332    "</f>
        <v xml:space="preserve">0968823332    </v>
      </c>
      <c r="F586" s="1" t="str">
        <f>"社会福祉法人天恵会"</f>
        <v>社会福祉法人天恵会</v>
      </c>
      <c r="G586" s="1" t="str">
        <f>"H01.09.01"</f>
        <v>H01.09.01</v>
      </c>
      <c r="H586" s="1" t="str">
        <f t="shared" si="29"/>
        <v>開設中</v>
      </c>
      <c r="I586" s="1">
        <v>0</v>
      </c>
      <c r="J586" s="1">
        <v>0</v>
      </c>
      <c r="K586" s="1">
        <v>0</v>
      </c>
      <c r="L586" s="2">
        <v>1</v>
      </c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1"/>
    </row>
    <row r="587" spans="1:50" x14ac:dyDescent="0.4">
      <c r="A587" s="1" t="str">
        <f t="shared" si="31"/>
        <v>有明</v>
      </c>
      <c r="B587" s="1" t="str">
        <f>"小田整形外科医院"</f>
        <v>小田整形外科医院</v>
      </c>
      <c r="C587" s="1" t="str">
        <f>"861-5401"</f>
        <v>861-5401</v>
      </c>
      <c r="D587" s="1" t="s">
        <v>701</v>
      </c>
      <c r="E587" s="1" t="str">
        <f>"0968824488    "</f>
        <v xml:space="preserve">0968824488    </v>
      </c>
      <c r="F587" s="1" t="str">
        <f>"医療法人社団幸義会"</f>
        <v>医療法人社団幸義会</v>
      </c>
      <c r="G587" s="1" t="str">
        <f>"H11.07.01"</f>
        <v>H11.07.01</v>
      </c>
      <c r="H587" s="1" t="str">
        <f t="shared" si="29"/>
        <v>開設中</v>
      </c>
      <c r="I587" s="1">
        <v>19</v>
      </c>
      <c r="J587" s="1">
        <v>19</v>
      </c>
      <c r="K587" s="1">
        <v>0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>
        <v>1</v>
      </c>
      <c r="W587" s="2"/>
      <c r="X587" s="2"/>
      <c r="Y587" s="2">
        <v>1</v>
      </c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>
        <v>1</v>
      </c>
      <c r="AR587" s="2"/>
      <c r="AS587" s="2"/>
      <c r="AT587" s="2"/>
      <c r="AU587" s="2"/>
      <c r="AV587" s="2"/>
      <c r="AW587" s="2"/>
      <c r="AX587" s="1"/>
    </row>
    <row r="588" spans="1:50" x14ac:dyDescent="0.4">
      <c r="A588" s="1" t="str">
        <f t="shared" si="31"/>
        <v>有明</v>
      </c>
      <c r="B588" s="1" t="str">
        <f>"中野医院"</f>
        <v>中野医院</v>
      </c>
      <c r="C588" s="1" t="str">
        <f>"861-5403"</f>
        <v>861-5403</v>
      </c>
      <c r="D588" s="1" t="s">
        <v>702</v>
      </c>
      <c r="E588" s="1" t="str">
        <f>"0968823970    "</f>
        <v xml:space="preserve">0968823970    </v>
      </c>
      <c r="F588" s="1" t="str">
        <f>"中野　一彦"</f>
        <v>中野　一彦</v>
      </c>
      <c r="G588" s="1" t="str">
        <f>"H04.03.02"</f>
        <v>H04.03.02</v>
      </c>
      <c r="H588" s="1" t="str">
        <f t="shared" si="29"/>
        <v>開設中</v>
      </c>
      <c r="I588" s="1">
        <v>0</v>
      </c>
      <c r="J588" s="1">
        <v>0</v>
      </c>
      <c r="K588" s="1">
        <v>0</v>
      </c>
      <c r="L588" s="2">
        <v>1</v>
      </c>
      <c r="M588" s="2"/>
      <c r="N588" s="2"/>
      <c r="O588" s="2"/>
      <c r="P588" s="2"/>
      <c r="Q588" s="2"/>
      <c r="R588" s="2"/>
      <c r="S588" s="2"/>
      <c r="T588" s="2">
        <v>1</v>
      </c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1"/>
    </row>
    <row r="589" spans="1:50" x14ac:dyDescent="0.4">
      <c r="A589" s="1" t="str">
        <f t="shared" si="31"/>
        <v>有明</v>
      </c>
      <c r="B589" s="1" t="str">
        <f>"特別養護老人ホーム葉山苑"</f>
        <v>特別養護老人ホーム葉山苑</v>
      </c>
      <c r="C589" s="1" t="str">
        <f>"869-0303"</f>
        <v>869-0303</v>
      </c>
      <c r="D589" s="1" t="s">
        <v>703</v>
      </c>
      <c r="E589" s="1" t="str">
        <f>"0968714000    "</f>
        <v xml:space="preserve">0968714000    </v>
      </c>
      <c r="F589" s="1" t="str">
        <f>"社会福祉法人啓世会"</f>
        <v>社会福祉法人啓世会</v>
      </c>
      <c r="G589" s="1" t="str">
        <f>"H15.06.01"</f>
        <v>H15.06.01</v>
      </c>
      <c r="H589" s="1" t="str">
        <f t="shared" si="29"/>
        <v>開設中</v>
      </c>
      <c r="I589" s="1">
        <v>0</v>
      </c>
      <c r="J589" s="1">
        <v>0</v>
      </c>
      <c r="K589" s="1">
        <v>0</v>
      </c>
      <c r="L589" s="2">
        <v>1</v>
      </c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1"/>
    </row>
    <row r="590" spans="1:50" x14ac:dyDescent="0.4">
      <c r="A590" s="1" t="str">
        <f t="shared" si="31"/>
        <v>有明</v>
      </c>
      <c r="B590" s="1" t="str">
        <f>"安成医院"</f>
        <v>安成医院</v>
      </c>
      <c r="C590" s="1" t="str">
        <f>"869-0303"</f>
        <v>869-0303</v>
      </c>
      <c r="D590" s="1" t="s">
        <v>704</v>
      </c>
      <c r="E590" s="1" t="str">
        <f>"0968852047    "</f>
        <v xml:space="preserve">0968852047    </v>
      </c>
      <c r="F590" s="1" t="str">
        <f>"医療法人木生会"</f>
        <v>医療法人木生会</v>
      </c>
      <c r="G590" s="1" t="str">
        <f>"H13.08.01"</f>
        <v>H13.08.01</v>
      </c>
      <c r="H590" s="1" t="str">
        <f t="shared" si="29"/>
        <v>開設中</v>
      </c>
      <c r="I590" s="1">
        <v>0</v>
      </c>
      <c r="J590" s="1">
        <v>0</v>
      </c>
      <c r="K590" s="1">
        <v>0</v>
      </c>
      <c r="L590" s="2">
        <v>1</v>
      </c>
      <c r="M590" s="2">
        <v>1</v>
      </c>
      <c r="N590" s="2"/>
      <c r="O590" s="2"/>
      <c r="P590" s="2"/>
      <c r="Q590" s="2"/>
      <c r="R590" s="2"/>
      <c r="S590" s="2">
        <v>1</v>
      </c>
      <c r="T590" s="2"/>
      <c r="U590" s="2"/>
      <c r="V590" s="2"/>
      <c r="W590" s="2">
        <v>1</v>
      </c>
      <c r="X590" s="2">
        <v>1</v>
      </c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1"/>
    </row>
    <row r="591" spans="1:50" x14ac:dyDescent="0.4">
      <c r="A591" s="1" t="str">
        <f t="shared" si="31"/>
        <v>有明</v>
      </c>
      <c r="B591" s="1" t="str">
        <f>"ﾊﾟﾅｿﾆｯｸ(株)ｲﾝﾀﾞｽﾄﾘｱﾙｿﾘｭｰｼｮﾝｽﾞ社ﾃﾞﾊﾞｲｽｿﾘｭｰｼｮﾝｽﾞ事業部熊本"</f>
        <v>ﾊﾟﾅｿﾆｯｸ(株)ｲﾝﾀﾞｽﾄﾘｱﾙｿﾘｭｰｼｮﾝｽﾞ社ﾃﾞﾊﾞｲｽｿﾘｭｰｼｮﾝｽﾞ事業部熊本</v>
      </c>
      <c r="C591" s="1" t="str">
        <f>"865-0122"</f>
        <v>865-0122</v>
      </c>
      <c r="D591" s="1" t="s">
        <v>705</v>
      </c>
      <c r="E591" s="1" t="str">
        <f>"0968864321    "</f>
        <v xml:space="preserve">0968864321    </v>
      </c>
      <c r="F591" s="1" t="str">
        <f>"パナソニック健康保険組合"</f>
        <v>パナソニック健康保険組合</v>
      </c>
      <c r="G591" s="1" t="str">
        <f>"S57.01.21"</f>
        <v>S57.01.21</v>
      </c>
      <c r="H591" s="1" t="str">
        <f t="shared" si="29"/>
        <v>開設中</v>
      </c>
      <c r="I591" s="1">
        <v>0</v>
      </c>
      <c r="J591" s="1">
        <v>0</v>
      </c>
      <c r="K591" s="1">
        <v>0</v>
      </c>
      <c r="L591" s="2">
        <v>1</v>
      </c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1"/>
    </row>
    <row r="592" spans="1:50" x14ac:dyDescent="0.4">
      <c r="A592" s="1" t="str">
        <f t="shared" si="31"/>
        <v>有明</v>
      </c>
      <c r="B592" s="1" t="str">
        <f>"和楽荘"</f>
        <v>和楽荘</v>
      </c>
      <c r="C592" s="1" t="str">
        <f>"861-0923"</f>
        <v>861-0923</v>
      </c>
      <c r="D592" s="1" t="s">
        <v>706</v>
      </c>
      <c r="E592" s="1" t="str">
        <f>"0968342227    "</f>
        <v xml:space="preserve">0968342227    </v>
      </c>
      <c r="F592" s="1" t="str">
        <f>"社会福祉法人三加和福祉会"</f>
        <v>社会福祉法人三加和福祉会</v>
      </c>
      <c r="G592" s="1" t="str">
        <f>"H06.04.01"</f>
        <v>H06.04.01</v>
      </c>
      <c r="H592" s="1" t="str">
        <f t="shared" si="29"/>
        <v>開設中</v>
      </c>
      <c r="I592" s="1">
        <v>0</v>
      </c>
      <c r="J592" s="1">
        <v>0</v>
      </c>
      <c r="K592" s="1">
        <v>0</v>
      </c>
      <c r="L592" s="2">
        <v>1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1"/>
    </row>
    <row r="593" spans="1:50" x14ac:dyDescent="0.4">
      <c r="A593" s="1" t="str">
        <f t="shared" si="31"/>
        <v>有明</v>
      </c>
      <c r="B593" s="1" t="str">
        <f>"さかき診療所"</f>
        <v>さかき診療所</v>
      </c>
      <c r="C593" s="1" t="str">
        <f>"861-0837"</f>
        <v>861-0837</v>
      </c>
      <c r="D593" s="1" t="s">
        <v>707</v>
      </c>
      <c r="E593" s="1" t="str">
        <f>"0968531125    "</f>
        <v xml:space="preserve">0968531125    </v>
      </c>
      <c r="F593" s="1" t="str">
        <f>"社会医療法人親仁会"</f>
        <v>社会医療法人親仁会</v>
      </c>
      <c r="G593" s="1" t="str">
        <f>"H06.01.01"</f>
        <v>H06.01.01</v>
      </c>
      <c r="H593" s="1" t="str">
        <f t="shared" si="29"/>
        <v>開設中</v>
      </c>
      <c r="I593" s="1">
        <v>0</v>
      </c>
      <c r="J593" s="1">
        <v>0</v>
      </c>
      <c r="K593" s="1">
        <v>0</v>
      </c>
      <c r="L593" s="2">
        <v>1</v>
      </c>
      <c r="M593" s="2"/>
      <c r="N593" s="2">
        <v>1</v>
      </c>
      <c r="O593" s="2"/>
      <c r="P593" s="2"/>
      <c r="Q593" s="2"/>
      <c r="R593" s="2"/>
      <c r="S593" s="2"/>
      <c r="T593" s="2"/>
      <c r="U593" s="2"/>
      <c r="V593" s="2"/>
      <c r="W593" s="2">
        <v>1</v>
      </c>
      <c r="X593" s="2">
        <v>1</v>
      </c>
      <c r="Y593" s="2">
        <v>1</v>
      </c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>
        <v>1</v>
      </c>
      <c r="AR593" s="2"/>
      <c r="AS593" s="2"/>
      <c r="AT593" s="2"/>
      <c r="AU593" s="2"/>
      <c r="AV593" s="2"/>
      <c r="AW593" s="2"/>
      <c r="AX593" s="1"/>
    </row>
    <row r="594" spans="1:50" x14ac:dyDescent="0.4">
      <c r="A594" s="1" t="str">
        <f t="shared" si="31"/>
        <v>有明</v>
      </c>
      <c r="B594" s="1" t="str">
        <f>"田尻医院"</f>
        <v>田尻医院</v>
      </c>
      <c r="C594" s="1" t="str">
        <f>"861-0803"</f>
        <v>861-0803</v>
      </c>
      <c r="D594" s="1" t="s">
        <v>708</v>
      </c>
      <c r="E594" s="1" t="str">
        <f>"0968530016    "</f>
        <v xml:space="preserve">0968530016    </v>
      </c>
      <c r="F594" s="1" t="str">
        <f>"医療法人田尻会"</f>
        <v>医療法人田尻会</v>
      </c>
      <c r="G594" s="1" t="str">
        <f>"H05.10.01"</f>
        <v>H05.10.01</v>
      </c>
      <c r="H594" s="1" t="str">
        <f t="shared" si="29"/>
        <v>開設中</v>
      </c>
      <c r="I594" s="1">
        <v>0</v>
      </c>
      <c r="J594" s="1">
        <v>0</v>
      </c>
      <c r="K594" s="1">
        <v>0</v>
      </c>
      <c r="L594" s="2">
        <v>1</v>
      </c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>
        <v>1</v>
      </c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>
        <v>1</v>
      </c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1"/>
    </row>
    <row r="595" spans="1:50" x14ac:dyDescent="0.4">
      <c r="A595" s="1" t="str">
        <f t="shared" si="31"/>
        <v>有明</v>
      </c>
      <c r="B595" s="1" t="str">
        <f>"田辺クリニック"</f>
        <v>田辺クリニック</v>
      </c>
      <c r="C595" s="1" t="str">
        <f>"861-0822"</f>
        <v>861-0822</v>
      </c>
      <c r="D595" s="1" t="s">
        <v>709</v>
      </c>
      <c r="E595" s="1" t="str">
        <f>"0968538211    "</f>
        <v xml:space="preserve">0968538211    </v>
      </c>
      <c r="F595" s="1" t="str">
        <f>"平山　雅章"</f>
        <v>平山　雅章</v>
      </c>
      <c r="G595" s="1" t="str">
        <f>"H16.04.01"</f>
        <v>H16.04.01</v>
      </c>
      <c r="H595" s="1" t="str">
        <f t="shared" si="29"/>
        <v>開設中</v>
      </c>
      <c r="I595" s="1">
        <v>0</v>
      </c>
      <c r="J595" s="1">
        <v>0</v>
      </c>
      <c r="K595" s="1">
        <v>0</v>
      </c>
      <c r="L595" s="2">
        <v>1</v>
      </c>
      <c r="M595" s="2"/>
      <c r="N595" s="2"/>
      <c r="O595" s="2"/>
      <c r="P595" s="2"/>
      <c r="Q595" s="2">
        <v>1</v>
      </c>
      <c r="R595" s="2">
        <v>1</v>
      </c>
      <c r="S595" s="2"/>
      <c r="T595" s="2">
        <v>1</v>
      </c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1"/>
    </row>
    <row r="596" spans="1:50" x14ac:dyDescent="0.4">
      <c r="A596" s="1" t="str">
        <f t="shared" si="31"/>
        <v>有明</v>
      </c>
      <c r="B596" s="1" t="str">
        <f>"ながすクリニック"</f>
        <v>ながすクリニック</v>
      </c>
      <c r="C596" s="1" t="str">
        <f>"869-0123"</f>
        <v>869-0123</v>
      </c>
      <c r="D596" s="1" t="s">
        <v>710</v>
      </c>
      <c r="E596" s="1" t="str">
        <f>"0968780527    "</f>
        <v xml:space="preserve">0968780527    </v>
      </c>
      <c r="F596" s="1" t="str">
        <f>"医療法人池満会"</f>
        <v>医療法人池満会</v>
      </c>
      <c r="G596" s="1" t="str">
        <f>"H09.05.29"</f>
        <v>H09.05.29</v>
      </c>
      <c r="H596" s="1" t="str">
        <f t="shared" si="29"/>
        <v>開設中</v>
      </c>
      <c r="I596" s="1">
        <v>0</v>
      </c>
      <c r="J596" s="1">
        <v>0</v>
      </c>
      <c r="K596" s="1">
        <v>0</v>
      </c>
      <c r="L596" s="2">
        <v>1</v>
      </c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>
        <v>1</v>
      </c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1" t="s">
        <v>106</v>
      </c>
    </row>
    <row r="597" spans="1:50" x14ac:dyDescent="0.4">
      <c r="A597" s="1" t="str">
        <f t="shared" si="31"/>
        <v>有明</v>
      </c>
      <c r="B597" s="1" t="str">
        <f>"特別養護老人ホーム月華苑"</f>
        <v>特別養護老人ホーム月華苑</v>
      </c>
      <c r="C597" s="1" t="str">
        <f>"869-0105"</f>
        <v>869-0105</v>
      </c>
      <c r="D597" s="1" t="s">
        <v>711</v>
      </c>
      <c r="E597" s="1" t="str">
        <f>"0968692018    "</f>
        <v xml:space="preserve">0968692018    </v>
      </c>
      <c r="F597" s="1" t="str">
        <f>"社会福祉法人池修会"</f>
        <v>社会福祉法人池修会</v>
      </c>
      <c r="G597" s="1" t="str">
        <f>"H08.11.01"</f>
        <v>H08.11.01</v>
      </c>
      <c r="H597" s="1" t="str">
        <f t="shared" si="29"/>
        <v>開設中</v>
      </c>
      <c r="I597" s="1">
        <v>0</v>
      </c>
      <c r="J597" s="1">
        <v>0</v>
      </c>
      <c r="K597" s="1">
        <v>0</v>
      </c>
      <c r="L597" s="2">
        <v>1</v>
      </c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1"/>
    </row>
    <row r="598" spans="1:50" x14ac:dyDescent="0.4">
      <c r="A598" s="1" t="str">
        <f t="shared" si="31"/>
        <v>有明</v>
      </c>
      <c r="B598" s="1" t="str">
        <f>"多田隈内科医院"</f>
        <v>多田隈内科医院</v>
      </c>
      <c r="C598" s="1" t="str">
        <f>"869-0101"</f>
        <v>869-0101</v>
      </c>
      <c r="D598" s="1" t="s">
        <v>712</v>
      </c>
      <c r="E598" s="1" t="str">
        <f>"0968783011    "</f>
        <v xml:space="preserve">0968783011    </v>
      </c>
      <c r="F598" s="1" t="str">
        <f>"中島　奈津子"</f>
        <v>中島　奈津子</v>
      </c>
      <c r="G598" s="1" t="str">
        <f>"H16.06.10"</f>
        <v>H16.06.10</v>
      </c>
      <c r="H598" s="1" t="str">
        <f t="shared" si="29"/>
        <v>開設中</v>
      </c>
      <c r="I598" s="1">
        <v>0</v>
      </c>
      <c r="J598" s="1">
        <v>0</v>
      </c>
      <c r="K598" s="1">
        <v>0</v>
      </c>
      <c r="L598" s="2">
        <v>1</v>
      </c>
      <c r="M598" s="2"/>
      <c r="N598" s="2"/>
      <c r="O598" s="2"/>
      <c r="P598" s="2"/>
      <c r="Q598" s="2"/>
      <c r="R598" s="2">
        <v>1</v>
      </c>
      <c r="S598" s="2">
        <v>1</v>
      </c>
      <c r="T598" s="2">
        <v>1</v>
      </c>
      <c r="U598" s="2"/>
      <c r="V598" s="2"/>
      <c r="W598" s="2">
        <v>1</v>
      </c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1"/>
    </row>
    <row r="599" spans="1:50" x14ac:dyDescent="0.4">
      <c r="A599" s="1" t="str">
        <f t="shared" si="31"/>
        <v>有明</v>
      </c>
      <c r="B599" s="1" t="str">
        <f>"田宮二郎内科"</f>
        <v>田宮二郎内科</v>
      </c>
      <c r="C599" s="1" t="str">
        <f>"869-0123"</f>
        <v>869-0123</v>
      </c>
      <c r="D599" s="1" t="s">
        <v>713</v>
      </c>
      <c r="E599" s="1" t="str">
        <f>"0968782150    "</f>
        <v xml:space="preserve">0968782150    </v>
      </c>
      <c r="F599" s="1" t="str">
        <f>"医療法人和幸会"</f>
        <v>医療法人和幸会</v>
      </c>
      <c r="G599" s="1" t="str">
        <f>"H07.09.01"</f>
        <v>H07.09.01</v>
      </c>
      <c r="H599" s="1" t="str">
        <f t="shared" si="29"/>
        <v>開設中</v>
      </c>
      <c r="I599" s="1">
        <v>0</v>
      </c>
      <c r="J599" s="1">
        <v>0</v>
      </c>
      <c r="K599" s="1">
        <v>0</v>
      </c>
      <c r="L599" s="2">
        <v>1</v>
      </c>
      <c r="M599" s="2"/>
      <c r="N599" s="2"/>
      <c r="O599" s="2"/>
      <c r="P599" s="2"/>
      <c r="Q599" s="2">
        <v>1</v>
      </c>
      <c r="R599" s="2"/>
      <c r="S599" s="2">
        <v>1</v>
      </c>
      <c r="T599" s="2"/>
      <c r="U599" s="2"/>
      <c r="V599" s="2"/>
      <c r="W599" s="2">
        <v>1</v>
      </c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1"/>
    </row>
    <row r="600" spans="1:50" x14ac:dyDescent="0.4">
      <c r="A600" s="1" t="str">
        <f t="shared" si="31"/>
        <v>有明</v>
      </c>
      <c r="B600" s="1" t="str">
        <f>"西山クリニック"</f>
        <v>西山クリニック</v>
      </c>
      <c r="C600" s="1" t="str">
        <f>"869-0105"</f>
        <v>869-0105</v>
      </c>
      <c r="D600" s="1" t="s">
        <v>714</v>
      </c>
      <c r="E600" s="1" t="str">
        <f>"0968787811    "</f>
        <v xml:space="preserve">0968787811    </v>
      </c>
      <c r="F600" s="1" t="str">
        <f>"医療法人慧仁会"</f>
        <v>医療法人慧仁会</v>
      </c>
      <c r="G600" s="1" t="str">
        <f>"H12.06.01"</f>
        <v>H12.06.01</v>
      </c>
      <c r="H600" s="1" t="str">
        <f t="shared" si="29"/>
        <v>開設中</v>
      </c>
      <c r="I600" s="1">
        <v>0</v>
      </c>
      <c r="J600" s="1">
        <v>0</v>
      </c>
      <c r="K600" s="1">
        <v>0</v>
      </c>
      <c r="L600" s="2">
        <v>1</v>
      </c>
      <c r="M600" s="2"/>
      <c r="N600" s="2"/>
      <c r="O600" s="2"/>
      <c r="P600" s="2"/>
      <c r="Q600" s="2">
        <v>1</v>
      </c>
      <c r="R600" s="2"/>
      <c r="S600" s="2">
        <v>1</v>
      </c>
      <c r="T600" s="2"/>
      <c r="U600" s="2">
        <v>1</v>
      </c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>
        <v>1</v>
      </c>
      <c r="AR600" s="2"/>
      <c r="AS600" s="2"/>
      <c r="AT600" s="2"/>
      <c r="AU600" s="2"/>
      <c r="AV600" s="2"/>
      <c r="AW600" s="2"/>
      <c r="AX600" s="1"/>
    </row>
    <row r="601" spans="1:50" x14ac:dyDescent="0.4">
      <c r="A601" s="1" t="str">
        <f t="shared" si="31"/>
        <v>有明</v>
      </c>
      <c r="B601" s="1" t="str">
        <f>"ジャパンマリンユナイテッド（株）有明診療所"</f>
        <v>ジャパンマリンユナイテッド（株）有明診療所</v>
      </c>
      <c r="C601" s="1" t="str">
        <f>"869-0113"</f>
        <v>869-0113</v>
      </c>
      <c r="D601" s="1" t="s">
        <v>715</v>
      </c>
      <c r="E601" s="1" t="str">
        <f>"0968657353    "</f>
        <v xml:space="preserve">0968657353    </v>
      </c>
      <c r="F601" s="1" t="str">
        <f>"ジャパンマリンユナイテッド株式会社"</f>
        <v>ジャパンマリンユナイテッド株式会社</v>
      </c>
      <c r="G601" s="1" t="str">
        <f>"H14.10.01"</f>
        <v>H14.10.01</v>
      </c>
      <c r="H601" s="1" t="str">
        <f t="shared" si="29"/>
        <v>開設中</v>
      </c>
      <c r="I601" s="1">
        <v>0</v>
      </c>
      <c r="J601" s="1">
        <v>0</v>
      </c>
      <c r="K601" s="1">
        <v>0</v>
      </c>
      <c r="L601" s="2">
        <v>1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1"/>
    </row>
    <row r="602" spans="1:50" x14ac:dyDescent="0.4">
      <c r="A602" s="1" t="str">
        <f t="shared" si="31"/>
        <v>有明</v>
      </c>
      <c r="B602" s="1" t="str">
        <f>"山田クリニック"</f>
        <v>山田クリニック</v>
      </c>
      <c r="C602" s="1" t="str">
        <f>"864-0042"</f>
        <v>864-0042</v>
      </c>
      <c r="D602" s="1" t="s">
        <v>716</v>
      </c>
      <c r="E602" s="1" t="str">
        <f>"0968627722    "</f>
        <v xml:space="preserve">0968627722    </v>
      </c>
      <c r="F602" s="1" t="str">
        <f>"医療法人山田クリニック"</f>
        <v>医療法人山田クリニック</v>
      </c>
      <c r="G602" s="1" t="str">
        <f>"H17.08.18"</f>
        <v>H17.08.18</v>
      </c>
      <c r="H602" s="1" t="str">
        <f t="shared" si="29"/>
        <v>開設中</v>
      </c>
      <c r="I602" s="1">
        <v>19</v>
      </c>
      <c r="J602" s="1">
        <v>19</v>
      </c>
      <c r="K602" s="1">
        <v>0</v>
      </c>
      <c r="L602" s="2">
        <v>1</v>
      </c>
      <c r="M602" s="2"/>
      <c r="N602" s="2"/>
      <c r="O602" s="2"/>
      <c r="P602" s="2"/>
      <c r="Q602" s="2">
        <v>1</v>
      </c>
      <c r="R602" s="2">
        <v>1</v>
      </c>
      <c r="S602" s="2">
        <v>1</v>
      </c>
      <c r="T602" s="2">
        <v>1</v>
      </c>
      <c r="U602" s="2">
        <v>1</v>
      </c>
      <c r="V602" s="2">
        <v>1</v>
      </c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>
        <v>1</v>
      </c>
      <c r="AH602" s="2"/>
      <c r="AI602" s="2"/>
      <c r="AJ602" s="2"/>
      <c r="AK602" s="2"/>
      <c r="AL602" s="2"/>
      <c r="AM602" s="2"/>
      <c r="AN602" s="2"/>
      <c r="AO602" s="2"/>
      <c r="AP602" s="2"/>
      <c r="AQ602" s="2">
        <v>1</v>
      </c>
      <c r="AR602" s="2">
        <v>1</v>
      </c>
      <c r="AS602" s="2"/>
      <c r="AT602" s="2"/>
      <c r="AU602" s="2"/>
      <c r="AV602" s="2"/>
      <c r="AW602" s="2"/>
      <c r="AX602" s="1"/>
    </row>
    <row r="603" spans="1:50" x14ac:dyDescent="0.4">
      <c r="A603" s="1" t="str">
        <f t="shared" si="31"/>
        <v>有明</v>
      </c>
      <c r="B603" s="1" t="str">
        <f>"西整形外科医院"</f>
        <v>西整形外科医院</v>
      </c>
      <c r="C603" s="1" t="str">
        <f>"864-0027"</f>
        <v>864-0027</v>
      </c>
      <c r="D603" s="1" t="s">
        <v>717</v>
      </c>
      <c r="E603" s="1" t="str">
        <f>"0968682511    "</f>
        <v xml:space="preserve">0968682511    </v>
      </c>
      <c r="F603" s="1" t="str">
        <f>"医療法人宏徳会"</f>
        <v>医療法人宏徳会</v>
      </c>
      <c r="G603" s="1" t="str">
        <f>"H18.01.01"</f>
        <v>H18.01.01</v>
      </c>
      <c r="H603" s="1" t="str">
        <f t="shared" si="29"/>
        <v>開設中</v>
      </c>
      <c r="I603" s="1">
        <v>19</v>
      </c>
      <c r="J603" s="1">
        <v>19</v>
      </c>
      <c r="K603" s="1">
        <v>0</v>
      </c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>
        <v>1</v>
      </c>
      <c r="W603" s="2"/>
      <c r="X603" s="2"/>
      <c r="Y603" s="2">
        <v>1</v>
      </c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>
        <v>1</v>
      </c>
      <c r="AR603" s="2"/>
      <c r="AS603" s="2"/>
      <c r="AT603" s="2"/>
      <c r="AU603" s="2"/>
      <c r="AV603" s="2"/>
      <c r="AW603" s="2"/>
      <c r="AX603" s="1"/>
    </row>
    <row r="604" spans="1:50" x14ac:dyDescent="0.4">
      <c r="A604" s="1" t="str">
        <f t="shared" si="31"/>
        <v>有明</v>
      </c>
      <c r="B604" s="1" t="str">
        <f>"和水町特別養護老人ホームきくすい荘"</f>
        <v>和水町特別養護老人ホームきくすい荘</v>
      </c>
      <c r="C604" s="1" t="str">
        <f>"865-0136"</f>
        <v>865-0136</v>
      </c>
      <c r="D604" s="1" t="s">
        <v>718</v>
      </c>
      <c r="E604" s="1" t="str">
        <f>"0968862177    "</f>
        <v xml:space="preserve">0968862177    </v>
      </c>
      <c r="F604" s="1" t="str">
        <f>"和水町"</f>
        <v>和水町</v>
      </c>
      <c r="G604" s="1" t="str">
        <f>"H18.03.01"</f>
        <v>H18.03.01</v>
      </c>
      <c r="H604" s="1" t="str">
        <f t="shared" ref="H604:H667" si="32">"開設中"</f>
        <v>開設中</v>
      </c>
      <c r="I604" s="1">
        <v>0</v>
      </c>
      <c r="J604" s="1">
        <v>0</v>
      </c>
      <c r="K604" s="1">
        <v>0</v>
      </c>
      <c r="L604" s="2">
        <v>1</v>
      </c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>
        <v>1</v>
      </c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1"/>
    </row>
    <row r="605" spans="1:50" x14ac:dyDescent="0.4">
      <c r="A605" s="1" t="str">
        <f t="shared" si="31"/>
        <v>有明</v>
      </c>
      <c r="B605" s="1" t="str">
        <f>"鶴上整形外科リウマチ科"</f>
        <v>鶴上整形外科リウマチ科</v>
      </c>
      <c r="C605" s="1" t="str">
        <f>"865-0015"</f>
        <v>865-0015</v>
      </c>
      <c r="D605" s="1" t="s">
        <v>719</v>
      </c>
      <c r="E605" s="1" t="str">
        <f>"0968722007    "</f>
        <v xml:space="preserve">0968722007    </v>
      </c>
      <c r="F605" s="1" t="str">
        <f>"医療法人鶴整会"</f>
        <v>医療法人鶴整会</v>
      </c>
      <c r="G605" s="1" t="str">
        <f>"H18.04.01"</f>
        <v>H18.04.01</v>
      </c>
      <c r="H605" s="1" t="str">
        <f t="shared" si="32"/>
        <v>開設中</v>
      </c>
      <c r="I605" s="1">
        <v>0</v>
      </c>
      <c r="J605" s="1">
        <v>0</v>
      </c>
      <c r="K605" s="1">
        <v>0</v>
      </c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>
        <v>1</v>
      </c>
      <c r="W605" s="2"/>
      <c r="X605" s="2"/>
      <c r="Y605" s="2">
        <v>1</v>
      </c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>
        <v>1</v>
      </c>
      <c r="AR605" s="2"/>
      <c r="AS605" s="2"/>
      <c r="AT605" s="2"/>
      <c r="AU605" s="2"/>
      <c r="AV605" s="2"/>
      <c r="AW605" s="2"/>
      <c r="AX605" s="1"/>
    </row>
    <row r="606" spans="1:50" x14ac:dyDescent="0.4">
      <c r="A606" s="1" t="str">
        <f t="shared" si="31"/>
        <v>有明</v>
      </c>
      <c r="B606" s="1" t="str">
        <f>"さかた耳鼻咽喉科クリニック"</f>
        <v>さかた耳鼻咽喉科クリニック</v>
      </c>
      <c r="C606" s="1" t="str">
        <f>"864-0033"</f>
        <v>864-0033</v>
      </c>
      <c r="D606" s="1" t="s">
        <v>720</v>
      </c>
      <c r="E606" s="1" t="str">
        <f>"0968693310    "</f>
        <v xml:space="preserve">0968693310    </v>
      </c>
      <c r="F606" s="1" t="str">
        <f>"医療法人　志崇会"</f>
        <v>医療法人　志崇会</v>
      </c>
      <c r="G606" s="1" t="str">
        <f>"H18.06.01"</f>
        <v>H18.06.01</v>
      </c>
      <c r="H606" s="1" t="str">
        <f t="shared" si="32"/>
        <v>開設中</v>
      </c>
      <c r="I606" s="1">
        <v>0</v>
      </c>
      <c r="J606" s="1">
        <v>0</v>
      </c>
      <c r="K606" s="1">
        <v>0</v>
      </c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>
        <v>1</v>
      </c>
      <c r="AP606" s="2"/>
      <c r="AQ606" s="2"/>
      <c r="AR606" s="2"/>
      <c r="AS606" s="2"/>
      <c r="AT606" s="2"/>
      <c r="AU606" s="2"/>
      <c r="AV606" s="2"/>
      <c r="AW606" s="2"/>
      <c r="AX606" s="1"/>
    </row>
    <row r="607" spans="1:50" x14ac:dyDescent="0.4">
      <c r="A607" s="1" t="str">
        <f t="shared" si="31"/>
        <v>有明</v>
      </c>
      <c r="B607" s="1" t="str">
        <f>"佐藤眼科・内科"</f>
        <v>佐藤眼科・内科</v>
      </c>
      <c r="C607" s="1" t="str">
        <f>"864-0041"</f>
        <v>864-0041</v>
      </c>
      <c r="D607" s="1" t="s">
        <v>721</v>
      </c>
      <c r="E607" s="1" t="str">
        <f>"0968655900    "</f>
        <v xml:space="preserve">0968655900    </v>
      </c>
      <c r="F607" s="1" t="str">
        <f>"医療法人　樹尚会"</f>
        <v>医療法人　樹尚会</v>
      </c>
      <c r="G607" s="1" t="str">
        <f>"H18.09.01"</f>
        <v>H18.09.01</v>
      </c>
      <c r="H607" s="1" t="str">
        <f t="shared" si="32"/>
        <v>開設中</v>
      </c>
      <c r="I607" s="1">
        <v>0</v>
      </c>
      <c r="J607" s="1">
        <v>0</v>
      </c>
      <c r="K607" s="1">
        <v>0</v>
      </c>
      <c r="L607" s="2">
        <v>1</v>
      </c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>
        <v>1</v>
      </c>
      <c r="AO607" s="2"/>
      <c r="AP607" s="2"/>
      <c r="AQ607" s="2"/>
      <c r="AR607" s="2"/>
      <c r="AS607" s="2"/>
      <c r="AT607" s="2"/>
      <c r="AU607" s="2"/>
      <c r="AV607" s="2"/>
      <c r="AW607" s="2"/>
      <c r="AX607" s="1"/>
    </row>
    <row r="608" spans="1:50" x14ac:dyDescent="0.4">
      <c r="A608" s="1" t="str">
        <f t="shared" si="31"/>
        <v>有明</v>
      </c>
      <c r="B608" s="1" t="str">
        <f>"荒尾脳神経外科医院"</f>
        <v>荒尾脳神経外科医院</v>
      </c>
      <c r="C608" s="1" t="str">
        <f>"864-0014"</f>
        <v>864-0014</v>
      </c>
      <c r="D608" s="1" t="s">
        <v>722</v>
      </c>
      <c r="E608" s="1" t="str">
        <f>"0968656030    "</f>
        <v xml:space="preserve">0968656030    </v>
      </c>
      <c r="F608" s="1" t="str">
        <f>"医療法人博美会"</f>
        <v>医療法人博美会</v>
      </c>
      <c r="G608" s="1" t="str">
        <f>"H19.01.17"</f>
        <v>H19.01.17</v>
      </c>
      <c r="H608" s="1" t="str">
        <f t="shared" si="32"/>
        <v>開設中</v>
      </c>
      <c r="I608" s="1">
        <v>19</v>
      </c>
      <c r="J608" s="1">
        <v>19</v>
      </c>
      <c r="K608" s="1">
        <v>0</v>
      </c>
      <c r="L608" s="2">
        <v>1</v>
      </c>
      <c r="M608" s="2"/>
      <c r="N608" s="2"/>
      <c r="O608" s="2"/>
      <c r="P608" s="2">
        <v>1</v>
      </c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>
        <v>1</v>
      </c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>
        <v>1</v>
      </c>
      <c r="AR608" s="2"/>
      <c r="AS608" s="2"/>
      <c r="AT608" s="2"/>
      <c r="AU608" s="2"/>
      <c r="AV608" s="2"/>
      <c r="AW608" s="2"/>
      <c r="AX608" s="1" t="s">
        <v>107</v>
      </c>
    </row>
    <row r="609" spans="1:50" x14ac:dyDescent="0.4">
      <c r="A609" s="1" t="str">
        <f t="shared" si="31"/>
        <v>有明</v>
      </c>
      <c r="B609" s="1" t="str">
        <f>"いしかわ産婦人科"</f>
        <v>いしかわ産婦人科</v>
      </c>
      <c r="C609" s="1" t="str">
        <f>"864-0163"</f>
        <v>864-0163</v>
      </c>
      <c r="D609" s="1" t="s">
        <v>723</v>
      </c>
      <c r="E609" s="1" t="str">
        <f>"0968685511    "</f>
        <v xml:space="preserve">0968685511    </v>
      </c>
      <c r="F609" s="1" t="str">
        <f>"医療法人賢勝会"</f>
        <v>医療法人賢勝会</v>
      </c>
      <c r="G609" s="1" t="str">
        <f>"H19.09.01"</f>
        <v>H19.09.01</v>
      </c>
      <c r="H609" s="1" t="str">
        <f t="shared" si="32"/>
        <v>開設中</v>
      </c>
      <c r="I609" s="1">
        <v>9</v>
      </c>
      <c r="J609" s="1">
        <v>9</v>
      </c>
      <c r="K609" s="1">
        <v>0</v>
      </c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>
        <v>1</v>
      </c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1"/>
    </row>
    <row r="610" spans="1:50" x14ac:dyDescent="0.4">
      <c r="A610" s="1" t="str">
        <f t="shared" si="31"/>
        <v>有明</v>
      </c>
      <c r="B610" s="1" t="str">
        <f>"みどり皮ふ科クリニック"</f>
        <v>みどり皮ふ科クリニック</v>
      </c>
      <c r="C610" s="1" t="str">
        <f>"864-0041"</f>
        <v>864-0041</v>
      </c>
      <c r="D610" s="1" t="s">
        <v>724</v>
      </c>
      <c r="E610" s="1" t="str">
        <f>"0968655611    "</f>
        <v xml:space="preserve">0968655611    </v>
      </c>
      <c r="F610" s="1" t="str">
        <f>"幸丸　正広"</f>
        <v>幸丸　正広</v>
      </c>
      <c r="G610" s="1" t="str">
        <f>"H20.10.16"</f>
        <v>H20.10.16</v>
      </c>
      <c r="H610" s="1" t="str">
        <f t="shared" si="32"/>
        <v>開設中</v>
      </c>
      <c r="I610" s="1">
        <v>0</v>
      </c>
      <c r="J610" s="1">
        <v>0</v>
      </c>
      <c r="K610" s="1">
        <v>0</v>
      </c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>
        <v>1</v>
      </c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1"/>
    </row>
    <row r="611" spans="1:50" x14ac:dyDescent="0.4">
      <c r="A611" s="1" t="str">
        <f t="shared" si="31"/>
        <v>有明</v>
      </c>
      <c r="B611" s="1" t="str">
        <f>"医療法人柳育会　新やなぎ健診クリニック巡回診療所"</f>
        <v>医療法人柳育会　新やなぎ健診クリニック巡回診療所</v>
      </c>
      <c r="C611" s="1" t="str">
        <f>"864-0025"</f>
        <v>864-0025</v>
      </c>
      <c r="D611" s="1" t="s">
        <v>725</v>
      </c>
      <c r="E611" s="1" t="str">
        <f>"0968687712    "</f>
        <v xml:space="preserve">0968687712    </v>
      </c>
      <c r="F611" s="1" t="str">
        <f>"医療法人柳育会"</f>
        <v>医療法人柳育会</v>
      </c>
      <c r="G611" s="1" t="str">
        <f>"H22.01.20"</f>
        <v>H22.01.20</v>
      </c>
      <c r="H611" s="1" t="str">
        <f t="shared" si="32"/>
        <v>開設中</v>
      </c>
      <c r="I611" s="1">
        <v>0</v>
      </c>
      <c r="J611" s="1">
        <v>0</v>
      </c>
      <c r="K611" s="1">
        <v>0</v>
      </c>
      <c r="L611" s="2">
        <v>1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1"/>
    </row>
    <row r="612" spans="1:50" x14ac:dyDescent="0.4">
      <c r="A612" s="1" t="str">
        <f t="shared" si="31"/>
        <v>有明</v>
      </c>
      <c r="B612" s="1" t="str">
        <f>"いまおかクリニック"</f>
        <v>いまおかクリニック</v>
      </c>
      <c r="C612" s="1" t="str">
        <f>"869-0101"</f>
        <v>869-0101</v>
      </c>
      <c r="D612" s="1" t="s">
        <v>726</v>
      </c>
      <c r="E612" s="1" t="str">
        <f>"0968783410    "</f>
        <v xml:space="preserve">0968783410    </v>
      </c>
      <c r="F612" s="1" t="str">
        <f>"医療法人社団　立春栄会"</f>
        <v>医療法人社団　立春栄会</v>
      </c>
      <c r="G612" s="1" t="str">
        <f>"H22.12.01"</f>
        <v>H22.12.01</v>
      </c>
      <c r="H612" s="1" t="str">
        <f t="shared" si="32"/>
        <v>開設中</v>
      </c>
      <c r="I612" s="1">
        <v>0</v>
      </c>
      <c r="J612" s="1">
        <v>0</v>
      </c>
      <c r="K612" s="1">
        <v>0</v>
      </c>
      <c r="L612" s="2">
        <v>1</v>
      </c>
      <c r="M612" s="2"/>
      <c r="N612" s="2"/>
      <c r="O612" s="2"/>
      <c r="P612" s="2"/>
      <c r="Q612" s="2"/>
      <c r="R612" s="2">
        <v>1</v>
      </c>
      <c r="S612" s="2">
        <v>1</v>
      </c>
      <c r="T612" s="2"/>
      <c r="U612" s="2"/>
      <c r="V612" s="2"/>
      <c r="W612" s="2"/>
      <c r="X612" s="2">
        <v>1</v>
      </c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1"/>
    </row>
    <row r="613" spans="1:50" x14ac:dyDescent="0.4">
      <c r="A613" s="1" t="str">
        <f t="shared" si="31"/>
        <v>有明</v>
      </c>
      <c r="B613" s="1" t="str">
        <f>"吉田整形外科クリニック"</f>
        <v>吉田整形外科クリニック</v>
      </c>
      <c r="C613" s="1" t="str">
        <f>"864-0026"</f>
        <v>864-0026</v>
      </c>
      <c r="D613" s="1" t="s">
        <v>727</v>
      </c>
      <c r="E613" s="1" t="str">
        <f>"0968626200    "</f>
        <v xml:space="preserve">0968626200    </v>
      </c>
      <c r="F613" s="1" t="str">
        <f>"吉水会"</f>
        <v>吉水会</v>
      </c>
      <c r="G613" s="1" t="str">
        <f>"H23.01.01"</f>
        <v>H23.01.01</v>
      </c>
      <c r="H613" s="1" t="str">
        <f t="shared" si="32"/>
        <v>開設中</v>
      </c>
      <c r="I613" s="1">
        <v>0</v>
      </c>
      <c r="J613" s="1">
        <v>0</v>
      </c>
      <c r="K613" s="1">
        <v>0</v>
      </c>
      <c r="L613" s="2">
        <v>1</v>
      </c>
      <c r="M613" s="2"/>
      <c r="N613" s="2"/>
      <c r="O613" s="2"/>
      <c r="P613" s="2"/>
      <c r="Q613" s="2"/>
      <c r="R613" s="2"/>
      <c r="S613" s="2"/>
      <c r="T613" s="2"/>
      <c r="U613" s="2"/>
      <c r="V613" s="2">
        <v>1</v>
      </c>
      <c r="W613" s="2"/>
      <c r="X613" s="2"/>
      <c r="Y613" s="2">
        <v>1</v>
      </c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>
        <v>1</v>
      </c>
      <c r="AR613" s="2"/>
      <c r="AS613" s="2"/>
      <c r="AT613" s="2"/>
      <c r="AU613" s="2"/>
      <c r="AV613" s="2"/>
      <c r="AW613" s="2"/>
      <c r="AX613" s="1"/>
    </row>
    <row r="614" spans="1:50" x14ac:dyDescent="0.4">
      <c r="A614" s="1" t="str">
        <f t="shared" si="31"/>
        <v>有明</v>
      </c>
      <c r="B614" s="1" t="str">
        <f>"ひがし成人・循環器内科クリニック"</f>
        <v>ひがし成人・循環器内科クリニック</v>
      </c>
      <c r="C614" s="1" t="str">
        <f>"865-0016"</f>
        <v>865-0016</v>
      </c>
      <c r="D614" s="1" t="s">
        <v>728</v>
      </c>
      <c r="E614" s="1" t="str">
        <f>"0968710600    "</f>
        <v xml:space="preserve">0968710600    </v>
      </c>
      <c r="F614" s="1" t="str">
        <f>"医療法人　隆望会"</f>
        <v>医療法人　隆望会</v>
      </c>
      <c r="G614" s="1" t="str">
        <f>"H24.01.10"</f>
        <v>H24.01.10</v>
      </c>
      <c r="H614" s="1" t="str">
        <f t="shared" si="32"/>
        <v>開設中</v>
      </c>
      <c r="I614" s="1">
        <v>0</v>
      </c>
      <c r="J614" s="1">
        <v>0</v>
      </c>
      <c r="K614" s="1">
        <v>0</v>
      </c>
      <c r="L614" s="2">
        <v>1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1" t="s">
        <v>61</v>
      </c>
    </row>
    <row r="615" spans="1:50" x14ac:dyDescent="0.4">
      <c r="A615" s="1" t="str">
        <f t="shared" si="31"/>
        <v>有明</v>
      </c>
      <c r="B615" s="1" t="str">
        <f>"公益財団法人福岡県すこやか健康事業団"</f>
        <v>公益財団法人福岡県すこやか健康事業団</v>
      </c>
      <c r="C615" s="1" t="str">
        <f>"869-0123"</f>
        <v>869-0123</v>
      </c>
      <c r="D615" s="1" t="s">
        <v>729</v>
      </c>
      <c r="E615" s="1" t="str">
        <f>"0927222511    "</f>
        <v xml:space="preserve">0927222511    </v>
      </c>
      <c r="F615" s="1" t="str">
        <f>"公益財団法人福岡県すこやか健康事業団"</f>
        <v>公益財団法人福岡県すこやか健康事業団</v>
      </c>
      <c r="G615" s="1" t="str">
        <f>"H24.04.20"</f>
        <v>H24.04.20</v>
      </c>
      <c r="H615" s="1" t="str">
        <f t="shared" si="32"/>
        <v>開設中</v>
      </c>
      <c r="I615" s="1">
        <v>0</v>
      </c>
      <c r="J615" s="1">
        <v>0</v>
      </c>
      <c r="K615" s="1">
        <v>0</v>
      </c>
      <c r="L615" s="2">
        <v>1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>
        <v>1</v>
      </c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>
        <v>1</v>
      </c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1"/>
    </row>
    <row r="616" spans="1:50" x14ac:dyDescent="0.4">
      <c r="A616" s="1" t="str">
        <f t="shared" si="31"/>
        <v>有明</v>
      </c>
      <c r="B616" s="1" t="str">
        <f>"酒井医院"</f>
        <v>酒井医院</v>
      </c>
      <c r="C616" s="1" t="str">
        <f>"865-0052"</f>
        <v>865-0052</v>
      </c>
      <c r="D616" s="1" t="s">
        <v>730</v>
      </c>
      <c r="E616" s="1" t="str">
        <f>"0968710777    "</f>
        <v xml:space="preserve">0968710777    </v>
      </c>
      <c r="F616" s="1" t="str">
        <f>"医療法人　優愛会"</f>
        <v>医療法人　優愛会</v>
      </c>
      <c r="G616" s="1" t="str">
        <f>"H24.05.01"</f>
        <v>H24.05.01</v>
      </c>
      <c r="H616" s="1" t="str">
        <f t="shared" si="32"/>
        <v>開設中</v>
      </c>
      <c r="I616" s="1">
        <v>0</v>
      </c>
      <c r="J616" s="1">
        <v>0</v>
      </c>
      <c r="K616" s="1">
        <v>0</v>
      </c>
      <c r="L616" s="2">
        <v>1</v>
      </c>
      <c r="M616" s="2"/>
      <c r="N616" s="2"/>
      <c r="O616" s="2"/>
      <c r="P616" s="2"/>
      <c r="Q616" s="2"/>
      <c r="R616" s="2"/>
      <c r="S616" s="2">
        <v>1</v>
      </c>
      <c r="T616" s="2"/>
      <c r="U616" s="2"/>
      <c r="V616" s="2"/>
      <c r="W616" s="2"/>
      <c r="X616" s="2">
        <v>1</v>
      </c>
      <c r="Y616" s="2"/>
      <c r="Z616" s="2"/>
      <c r="AA616" s="2"/>
      <c r="AB616" s="2"/>
      <c r="AC616" s="2"/>
      <c r="AD616" s="2"/>
      <c r="AE616" s="2"/>
      <c r="AF616" s="2"/>
      <c r="AG616" s="2">
        <v>1</v>
      </c>
      <c r="AH616" s="2"/>
      <c r="AI616" s="2"/>
      <c r="AJ616" s="2"/>
      <c r="AK616" s="2"/>
      <c r="AL616" s="2"/>
      <c r="AM616" s="2"/>
      <c r="AN616" s="2"/>
      <c r="AO616" s="2"/>
      <c r="AP616" s="2"/>
      <c r="AQ616" s="2">
        <v>1</v>
      </c>
      <c r="AR616" s="2"/>
      <c r="AS616" s="2"/>
      <c r="AT616" s="2"/>
      <c r="AU616" s="2"/>
      <c r="AV616" s="2"/>
      <c r="AW616" s="2">
        <v>1</v>
      </c>
      <c r="AX616" s="1"/>
    </row>
    <row r="617" spans="1:50" x14ac:dyDescent="0.4">
      <c r="A617" s="1" t="str">
        <f t="shared" ref="A617:A639" si="33">"有明"</f>
        <v>有明</v>
      </c>
      <c r="B617" s="1" t="str">
        <f>"くどう小児科クリニック"</f>
        <v>くどう小児科クリニック</v>
      </c>
      <c r="C617" s="1" t="str">
        <f>"864-0042"</f>
        <v>864-0042</v>
      </c>
      <c r="D617" s="1" t="s">
        <v>731</v>
      </c>
      <c r="E617" s="1" t="str">
        <f>"0968645511    "</f>
        <v xml:space="preserve">0968645511    </v>
      </c>
      <c r="F617" s="1" t="str">
        <f>"医療法人　よつば会"</f>
        <v>医療法人　よつば会</v>
      </c>
      <c r="G617" s="1" t="str">
        <f>"H25.01.01"</f>
        <v>H25.01.01</v>
      </c>
      <c r="H617" s="1" t="str">
        <f t="shared" si="32"/>
        <v>開設中</v>
      </c>
      <c r="I617" s="1">
        <v>0</v>
      </c>
      <c r="J617" s="1">
        <v>0</v>
      </c>
      <c r="K617" s="1">
        <v>0</v>
      </c>
      <c r="L617" s="2"/>
      <c r="M617" s="2"/>
      <c r="N617" s="2"/>
      <c r="O617" s="2"/>
      <c r="P617" s="2"/>
      <c r="Q617" s="2"/>
      <c r="R617" s="2"/>
      <c r="S617" s="2"/>
      <c r="T617" s="2"/>
      <c r="U617" s="2">
        <v>1</v>
      </c>
      <c r="V617" s="2"/>
      <c r="W617" s="2">
        <v>1</v>
      </c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1"/>
    </row>
    <row r="618" spans="1:50" x14ac:dyDescent="0.4">
      <c r="A618" s="1" t="str">
        <f t="shared" si="33"/>
        <v>有明</v>
      </c>
      <c r="B618" s="1" t="str">
        <f>"大塚医院"</f>
        <v>大塚医院</v>
      </c>
      <c r="C618" s="1" t="str">
        <f>"861-5401"</f>
        <v>861-5401</v>
      </c>
      <c r="D618" s="1" t="s">
        <v>732</v>
      </c>
      <c r="E618" s="1" t="str">
        <f>"0968822005    "</f>
        <v xml:space="preserve">0968822005    </v>
      </c>
      <c r="F618" s="1" t="str">
        <f>"大塚　良一"</f>
        <v>大塚　良一</v>
      </c>
      <c r="G618" s="1" t="str">
        <f>"H25.04.01"</f>
        <v>H25.04.01</v>
      </c>
      <c r="H618" s="1" t="str">
        <f t="shared" si="32"/>
        <v>開設中</v>
      </c>
      <c r="I618" s="1">
        <v>19</v>
      </c>
      <c r="J618" s="1">
        <v>19</v>
      </c>
      <c r="K618" s="1">
        <v>0</v>
      </c>
      <c r="L618" s="2">
        <v>1</v>
      </c>
      <c r="M618" s="2"/>
      <c r="N618" s="2"/>
      <c r="O618" s="2"/>
      <c r="P618" s="2"/>
      <c r="Q618" s="2">
        <v>1</v>
      </c>
      <c r="R618" s="2"/>
      <c r="S618" s="2">
        <v>1</v>
      </c>
      <c r="T618" s="2">
        <v>1</v>
      </c>
      <c r="U618" s="2"/>
      <c r="V618" s="2"/>
      <c r="W618" s="2"/>
      <c r="X618" s="2"/>
      <c r="Y618" s="2"/>
      <c r="Z618" s="2"/>
      <c r="AA618" s="2"/>
      <c r="AB618" s="2">
        <v>1</v>
      </c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>
        <v>1</v>
      </c>
      <c r="AR618" s="2">
        <v>1</v>
      </c>
      <c r="AS618" s="2"/>
      <c r="AT618" s="2"/>
      <c r="AU618" s="2"/>
      <c r="AV618" s="2"/>
      <c r="AW618" s="2"/>
      <c r="AX618" s="1"/>
    </row>
    <row r="619" spans="1:50" x14ac:dyDescent="0.4">
      <c r="A619" s="1" t="str">
        <f t="shared" si="33"/>
        <v>有明</v>
      </c>
      <c r="B619" s="1" t="str">
        <f>"西原クリニック"</f>
        <v>西原クリニック</v>
      </c>
      <c r="C619" s="1" t="str">
        <f>"864-0053"</f>
        <v>864-0053</v>
      </c>
      <c r="D619" s="1" t="s">
        <v>733</v>
      </c>
      <c r="E619" s="1" t="str">
        <f>"0968620622    "</f>
        <v xml:space="preserve">0968620622    </v>
      </c>
      <c r="F619" s="1" t="str">
        <f>"医療法人　成風舎"</f>
        <v>医療法人　成風舎</v>
      </c>
      <c r="G619" s="1" t="str">
        <f>"H25.05.01"</f>
        <v>H25.05.01</v>
      </c>
      <c r="H619" s="1" t="str">
        <f t="shared" si="32"/>
        <v>開設中</v>
      </c>
      <c r="I619" s="1">
        <v>19</v>
      </c>
      <c r="J619" s="1">
        <v>19</v>
      </c>
      <c r="K619" s="1">
        <v>0</v>
      </c>
      <c r="L619" s="2">
        <v>1</v>
      </c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>
        <v>1</v>
      </c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>
        <v>1</v>
      </c>
      <c r="AR619" s="2">
        <v>1</v>
      </c>
      <c r="AS619" s="2"/>
      <c r="AT619" s="2"/>
      <c r="AU619" s="2"/>
      <c r="AV619" s="2"/>
      <c r="AW619" s="2"/>
      <c r="AX619" s="1" t="s">
        <v>108</v>
      </c>
    </row>
    <row r="620" spans="1:50" x14ac:dyDescent="0.4">
      <c r="A620" s="1" t="str">
        <f t="shared" si="33"/>
        <v>有明</v>
      </c>
      <c r="B620" s="1" t="str">
        <f>"公益財団法人　福岡労働衛生研究所　玉名診療所"</f>
        <v>公益財団法人　福岡労働衛生研究所　玉名診療所</v>
      </c>
      <c r="C620" s="1" t="str">
        <f>"869-0222"</f>
        <v>869-0222</v>
      </c>
      <c r="D620" s="1" t="s">
        <v>734</v>
      </c>
      <c r="E620" s="1" t="str">
        <f>"0968743241    "</f>
        <v xml:space="preserve">0968743241    </v>
      </c>
      <c r="F620" s="1" t="str">
        <f>"公益財団法人福岡労働衛生研究所"</f>
        <v>公益財団法人福岡労働衛生研究所</v>
      </c>
      <c r="G620" s="1" t="str">
        <f>"H25.08.09"</f>
        <v>H25.08.09</v>
      </c>
      <c r="H620" s="1" t="str">
        <f t="shared" si="32"/>
        <v>開設中</v>
      </c>
      <c r="I620" s="1">
        <v>0</v>
      </c>
      <c r="J620" s="1">
        <v>0</v>
      </c>
      <c r="K620" s="1">
        <v>0</v>
      </c>
      <c r="L620" s="2">
        <v>1</v>
      </c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>
        <v>1</v>
      </c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1"/>
    </row>
    <row r="621" spans="1:50" x14ac:dyDescent="0.4">
      <c r="A621" s="1" t="str">
        <f t="shared" si="33"/>
        <v>有明</v>
      </c>
      <c r="B621" s="1" t="str">
        <f>"ふじさわクリニック"</f>
        <v>ふじさわクリニック</v>
      </c>
      <c r="C621" s="1" t="str">
        <f>"864-0052"</f>
        <v>864-0052</v>
      </c>
      <c r="D621" s="1" t="s">
        <v>735</v>
      </c>
      <c r="E621" s="1" t="str">
        <f>"0968642238    "</f>
        <v xml:space="preserve">0968642238    </v>
      </c>
      <c r="F621" s="1" t="str">
        <f>"医療法人　栄和会"</f>
        <v>医療法人　栄和会</v>
      </c>
      <c r="G621" s="1" t="str">
        <f>"H25.09.01"</f>
        <v>H25.09.01</v>
      </c>
      <c r="H621" s="1" t="str">
        <f t="shared" si="32"/>
        <v>開設中</v>
      </c>
      <c r="I621" s="1">
        <v>0</v>
      </c>
      <c r="J621" s="1">
        <v>0</v>
      </c>
      <c r="K621" s="1">
        <v>0</v>
      </c>
      <c r="L621" s="2">
        <v>1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>
        <v>1</v>
      </c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>
        <v>1</v>
      </c>
      <c r="AS621" s="2"/>
      <c r="AT621" s="2"/>
      <c r="AU621" s="2"/>
      <c r="AV621" s="2"/>
      <c r="AW621" s="2"/>
      <c r="AX621" s="1"/>
    </row>
    <row r="622" spans="1:50" x14ac:dyDescent="0.4">
      <c r="A622" s="1" t="str">
        <f t="shared" si="33"/>
        <v>有明</v>
      </c>
      <c r="B622" s="1" t="str">
        <f>"健康財団クリニック"</f>
        <v>健康財団クリニック</v>
      </c>
      <c r="C622" s="1" t="str">
        <f>"864-0027"</f>
        <v>864-0027</v>
      </c>
      <c r="D622" s="1" t="s">
        <v>736</v>
      </c>
      <c r="E622" s="1" t="str">
        <f>"0968630812    "</f>
        <v xml:space="preserve">0968630812    </v>
      </c>
      <c r="F622" s="1" t="str">
        <f>"一般財団法人　医療情報健康財団"</f>
        <v>一般財団法人　医療情報健康財団</v>
      </c>
      <c r="G622" s="1" t="str">
        <f>"H25.10.15"</f>
        <v>H25.10.15</v>
      </c>
      <c r="H622" s="1" t="str">
        <f t="shared" si="32"/>
        <v>開設中</v>
      </c>
      <c r="I622" s="1">
        <v>0</v>
      </c>
      <c r="J622" s="1">
        <v>0</v>
      </c>
      <c r="K622" s="1">
        <v>0</v>
      </c>
      <c r="L622" s="2">
        <v>1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1"/>
    </row>
    <row r="623" spans="1:50" x14ac:dyDescent="0.4">
      <c r="A623" s="1" t="str">
        <f t="shared" si="33"/>
        <v>有明</v>
      </c>
      <c r="B623" s="1" t="str">
        <f>"西良文医院"</f>
        <v>西良文医院</v>
      </c>
      <c r="C623" s="1" t="str">
        <f>"864-0031"</f>
        <v>864-0031</v>
      </c>
      <c r="D623" s="1" t="s">
        <v>737</v>
      </c>
      <c r="E623" s="1" t="str">
        <f>"0968662321    "</f>
        <v xml:space="preserve">0968662321    </v>
      </c>
      <c r="F623" s="1" t="str">
        <f>"医療法人　潮悠会"</f>
        <v>医療法人　潮悠会</v>
      </c>
      <c r="G623" s="1" t="str">
        <f>"H26.01.01"</f>
        <v>H26.01.01</v>
      </c>
      <c r="H623" s="1" t="str">
        <f t="shared" si="32"/>
        <v>開設中</v>
      </c>
      <c r="I623" s="1">
        <v>19</v>
      </c>
      <c r="J623" s="1">
        <v>19</v>
      </c>
      <c r="K623" s="1">
        <v>0</v>
      </c>
      <c r="L623" s="2">
        <v>1</v>
      </c>
      <c r="M623" s="2"/>
      <c r="N623" s="2"/>
      <c r="O623" s="2"/>
      <c r="P623" s="2"/>
      <c r="Q623" s="2"/>
      <c r="R623" s="2">
        <v>1</v>
      </c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>
        <v>1</v>
      </c>
      <c r="AS623" s="2"/>
      <c r="AT623" s="2"/>
      <c r="AU623" s="2"/>
      <c r="AV623" s="2"/>
      <c r="AW623" s="2">
        <v>1</v>
      </c>
      <c r="AX623" s="1"/>
    </row>
    <row r="624" spans="1:50" x14ac:dyDescent="0.4">
      <c r="A624" s="1" t="str">
        <f t="shared" si="33"/>
        <v>有明</v>
      </c>
      <c r="B624" s="1" t="str">
        <f>"福本内科医院"</f>
        <v>福本内科医院</v>
      </c>
      <c r="C624" s="1" t="str">
        <f>"869-0211"</f>
        <v>869-0211</v>
      </c>
      <c r="D624" s="1" t="s">
        <v>738</v>
      </c>
      <c r="E624" s="1" t="str">
        <f>"0968572811    "</f>
        <v xml:space="preserve">0968572811    </v>
      </c>
      <c r="F624" s="1" t="str">
        <f>"医療法人　福寿会"</f>
        <v>医療法人　福寿会</v>
      </c>
      <c r="G624" s="1" t="str">
        <f>"H26.06.01"</f>
        <v>H26.06.01</v>
      </c>
      <c r="H624" s="1" t="str">
        <f t="shared" si="32"/>
        <v>開設中</v>
      </c>
      <c r="I624" s="1">
        <v>0</v>
      </c>
      <c r="J624" s="1">
        <v>0</v>
      </c>
      <c r="K624" s="1">
        <v>0</v>
      </c>
      <c r="L624" s="2">
        <v>1</v>
      </c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1" t="s">
        <v>109</v>
      </c>
    </row>
    <row r="625" spans="1:50" x14ac:dyDescent="0.4">
      <c r="A625" s="1" t="str">
        <f t="shared" si="33"/>
        <v>有明</v>
      </c>
      <c r="B625" s="1" t="str">
        <f>"ひらやま医院"</f>
        <v>ひらやま医院</v>
      </c>
      <c r="C625" s="1" t="str">
        <f>"864-0032"</f>
        <v>864-0032</v>
      </c>
      <c r="D625" s="1" t="s">
        <v>739</v>
      </c>
      <c r="E625" s="1" t="str">
        <f>"0968620665    "</f>
        <v xml:space="preserve">0968620665    </v>
      </c>
      <c r="F625" s="1" t="str">
        <f>"医療法人ひらやま医院"</f>
        <v>医療法人ひらやま医院</v>
      </c>
      <c r="G625" s="1" t="str">
        <f>"H27.01.01"</f>
        <v>H27.01.01</v>
      </c>
      <c r="H625" s="1" t="str">
        <f t="shared" si="32"/>
        <v>開設中</v>
      </c>
      <c r="I625" s="1">
        <v>0</v>
      </c>
      <c r="J625" s="1">
        <v>0</v>
      </c>
      <c r="K625" s="1">
        <v>0</v>
      </c>
      <c r="L625" s="2">
        <v>1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>
        <v>1</v>
      </c>
      <c r="AS625" s="2"/>
      <c r="AT625" s="2"/>
      <c r="AU625" s="2"/>
      <c r="AV625" s="2"/>
      <c r="AW625" s="2"/>
      <c r="AX625" s="1"/>
    </row>
    <row r="626" spans="1:50" x14ac:dyDescent="0.4">
      <c r="A626" s="1" t="str">
        <f t="shared" si="33"/>
        <v>有明</v>
      </c>
      <c r="B626" s="1" t="str">
        <f>"四ツ山クリニック"</f>
        <v>四ツ山クリニック</v>
      </c>
      <c r="C626" s="1" t="str">
        <f>"864-0052"</f>
        <v>864-0052</v>
      </c>
      <c r="D626" s="1" t="s">
        <v>740</v>
      </c>
      <c r="E626" s="1" t="str">
        <f>"0968620407    "</f>
        <v xml:space="preserve">0968620407    </v>
      </c>
      <c r="F626" s="1" t="str">
        <f>"医療法人藤杏会"</f>
        <v>医療法人藤杏会</v>
      </c>
      <c r="G626" s="1" t="str">
        <f>"H27.07.09"</f>
        <v>H27.07.09</v>
      </c>
      <c r="H626" s="1" t="str">
        <f t="shared" si="32"/>
        <v>開設中</v>
      </c>
      <c r="I626" s="1">
        <v>0</v>
      </c>
      <c r="J626" s="1">
        <v>0</v>
      </c>
      <c r="K626" s="1">
        <v>0</v>
      </c>
      <c r="L626" s="2">
        <v>1</v>
      </c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>
        <v>1</v>
      </c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1"/>
    </row>
    <row r="627" spans="1:50" x14ac:dyDescent="0.4">
      <c r="A627" s="1" t="str">
        <f t="shared" si="33"/>
        <v>有明</v>
      </c>
      <c r="B627" s="1" t="str">
        <f>"特別養護老人ホーム ケアビレッジたがの里"</f>
        <v>特別養護老人ホーム ケアビレッジたがの里</v>
      </c>
      <c r="C627" s="1" t="str">
        <f>"861-5401"</f>
        <v>861-5401</v>
      </c>
      <c r="D627" s="1" t="s">
        <v>741</v>
      </c>
      <c r="E627" s="1" t="str">
        <f>"0968715030    "</f>
        <v xml:space="preserve">0968715030    </v>
      </c>
      <c r="F627" s="1" t="str">
        <f>"社会福祉法人天水福祉事業会"</f>
        <v>社会福祉法人天水福祉事業会</v>
      </c>
      <c r="G627" s="1" t="str">
        <f>"H28.08.01"</f>
        <v>H28.08.01</v>
      </c>
      <c r="H627" s="1" t="str">
        <f t="shared" si="32"/>
        <v>開設中</v>
      </c>
      <c r="I627" s="1">
        <v>0</v>
      </c>
      <c r="J627" s="1">
        <v>0</v>
      </c>
      <c r="K627" s="1">
        <v>0</v>
      </c>
      <c r="L627" s="2">
        <v>1</v>
      </c>
      <c r="M627" s="2"/>
      <c r="N627" s="2"/>
      <c r="O627" s="2"/>
      <c r="P627" s="2">
        <v>1</v>
      </c>
      <c r="Q627" s="2">
        <v>1</v>
      </c>
      <c r="R627" s="2">
        <v>1</v>
      </c>
      <c r="S627" s="2"/>
      <c r="T627" s="2">
        <v>1</v>
      </c>
      <c r="U627" s="2">
        <v>1</v>
      </c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1"/>
    </row>
    <row r="628" spans="1:50" x14ac:dyDescent="0.4">
      <c r="A628" s="1" t="str">
        <f t="shared" si="33"/>
        <v>有明</v>
      </c>
      <c r="B628" s="1" t="str">
        <f>"浩風会　風の丘診療所"</f>
        <v>浩風会　風の丘診療所</v>
      </c>
      <c r="C628" s="1" t="str">
        <f>"865-0041"</f>
        <v>865-0041</v>
      </c>
      <c r="D628" s="1" t="s">
        <v>742</v>
      </c>
      <c r="E628" s="1" t="str">
        <f>"0968722395    "</f>
        <v xml:space="preserve">0968722395    </v>
      </c>
      <c r="F628" s="1" t="str">
        <f>"社会福祉法人浩風会"</f>
        <v>社会福祉法人浩風会</v>
      </c>
      <c r="G628" s="1" t="str">
        <f>"H28.04.01"</f>
        <v>H28.04.01</v>
      </c>
      <c r="H628" s="1" t="str">
        <f t="shared" si="32"/>
        <v>開設中</v>
      </c>
      <c r="I628" s="1">
        <v>0</v>
      </c>
      <c r="J628" s="1">
        <v>0</v>
      </c>
      <c r="K628" s="1">
        <v>0</v>
      </c>
      <c r="L628" s="2">
        <v>1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1"/>
    </row>
    <row r="629" spans="1:50" x14ac:dyDescent="0.4">
      <c r="A629" s="1" t="str">
        <f t="shared" si="33"/>
        <v>有明</v>
      </c>
      <c r="B629" s="1" t="str">
        <f>"大野内科クリニック"</f>
        <v>大野内科クリニック</v>
      </c>
      <c r="C629" s="1" t="str">
        <f>"865-0045"</f>
        <v>865-0045</v>
      </c>
      <c r="D629" s="1" t="s">
        <v>743</v>
      </c>
      <c r="E629" s="1" t="str">
        <f>"0968711838    "</f>
        <v xml:space="preserve">0968711838    </v>
      </c>
      <c r="F629" s="1" t="str">
        <f>"医療法人　有世会"</f>
        <v>医療法人　有世会</v>
      </c>
      <c r="G629" s="1" t="str">
        <f>"H29.09.01"</f>
        <v>H29.09.01</v>
      </c>
      <c r="H629" s="1" t="str">
        <f t="shared" si="32"/>
        <v>開設中</v>
      </c>
      <c r="I629" s="1">
        <v>0</v>
      </c>
      <c r="J629" s="1">
        <v>0</v>
      </c>
      <c r="K629" s="1">
        <v>0</v>
      </c>
      <c r="L629" s="2">
        <v>1</v>
      </c>
      <c r="M629" s="2"/>
      <c r="N629" s="2"/>
      <c r="O629" s="2"/>
      <c r="P629" s="2"/>
      <c r="Q629" s="2"/>
      <c r="R629" s="2">
        <v>1</v>
      </c>
      <c r="S629" s="2">
        <v>1</v>
      </c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1"/>
    </row>
    <row r="630" spans="1:50" x14ac:dyDescent="0.4">
      <c r="A630" s="1" t="str">
        <f t="shared" si="33"/>
        <v>有明</v>
      </c>
      <c r="B630" s="1" t="str">
        <f>"鹿井内科"</f>
        <v>鹿井内科</v>
      </c>
      <c r="C630" s="1" t="str">
        <f>"865-0025"</f>
        <v>865-0025</v>
      </c>
      <c r="D630" s="1" t="s">
        <v>744</v>
      </c>
      <c r="E630" s="1" t="str">
        <f>"0968722275    "</f>
        <v xml:space="preserve">0968722275    </v>
      </c>
      <c r="F630" s="1" t="str">
        <f>"鹿井　太朗"</f>
        <v>鹿井　太朗</v>
      </c>
      <c r="G630" s="1" t="str">
        <f>"H29.04.01"</f>
        <v>H29.04.01</v>
      </c>
      <c r="H630" s="1" t="str">
        <f t="shared" si="32"/>
        <v>開設中</v>
      </c>
      <c r="I630" s="1">
        <v>0</v>
      </c>
      <c r="J630" s="1">
        <v>0</v>
      </c>
      <c r="K630" s="1">
        <v>0</v>
      </c>
      <c r="L630" s="2">
        <v>1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1"/>
    </row>
    <row r="631" spans="1:50" x14ac:dyDescent="0.4">
      <c r="A631" s="1" t="str">
        <f t="shared" si="33"/>
        <v>有明</v>
      </c>
      <c r="B631" s="1" t="str">
        <f>"さくら苑　立願の森"</f>
        <v>さくら苑　立願の森</v>
      </c>
      <c r="C631" s="1" t="str">
        <f>"865-0061"</f>
        <v>865-0061</v>
      </c>
      <c r="D631" s="1" t="s">
        <v>745</v>
      </c>
      <c r="E631" s="1" t="str">
        <f>"0968751139    "</f>
        <v xml:space="preserve">0968751139    </v>
      </c>
      <c r="F631" s="1" t="str">
        <f>"社会福祉法人　玉寿会"</f>
        <v>社会福祉法人　玉寿会</v>
      </c>
      <c r="G631" s="1" t="str">
        <f>"H29.04.26"</f>
        <v>H29.04.26</v>
      </c>
      <c r="H631" s="1" t="str">
        <f t="shared" si="32"/>
        <v>開設中</v>
      </c>
      <c r="I631" s="1">
        <v>0</v>
      </c>
      <c r="J631" s="1">
        <v>0</v>
      </c>
      <c r="K631" s="1">
        <v>0</v>
      </c>
      <c r="L631" s="2">
        <v>1</v>
      </c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1"/>
    </row>
    <row r="632" spans="1:50" x14ac:dyDescent="0.4">
      <c r="A632" s="1" t="str">
        <f t="shared" si="33"/>
        <v>有明</v>
      </c>
      <c r="B632" s="1" t="str">
        <f>"黒田クリニック　内科・代謝内科"</f>
        <v>黒田クリニック　内科・代謝内科</v>
      </c>
      <c r="C632" s="1" t="str">
        <f>"865-0022"</f>
        <v>865-0022</v>
      </c>
      <c r="D632" s="1" t="s">
        <v>746</v>
      </c>
      <c r="E632" s="1" t="str">
        <f>"0968736688    "</f>
        <v xml:space="preserve">0968736688    </v>
      </c>
      <c r="F632" s="1" t="str">
        <f>"黒田　英作"</f>
        <v>黒田　英作</v>
      </c>
      <c r="G632" s="1" t="str">
        <f>"H29.04.20"</f>
        <v>H29.04.20</v>
      </c>
      <c r="H632" s="1" t="str">
        <f t="shared" si="32"/>
        <v>開設中</v>
      </c>
      <c r="I632" s="1">
        <v>0</v>
      </c>
      <c r="J632" s="1">
        <v>0</v>
      </c>
      <c r="K632" s="1">
        <v>0</v>
      </c>
      <c r="L632" s="2">
        <v>1</v>
      </c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1" t="s">
        <v>110</v>
      </c>
    </row>
    <row r="633" spans="1:50" x14ac:dyDescent="0.4">
      <c r="A633" s="1" t="str">
        <f t="shared" si="33"/>
        <v>有明</v>
      </c>
      <c r="B633" s="1" t="str">
        <f>"やざわ整形外科クリニック"</f>
        <v>やざわ整形外科クリニック</v>
      </c>
      <c r="C633" s="1" t="str">
        <f>"865-0052"</f>
        <v>865-0052</v>
      </c>
      <c r="D633" s="1" t="s">
        <v>747</v>
      </c>
      <c r="E633" s="1" t="str">
        <f>"0968723000    "</f>
        <v xml:space="preserve">0968723000    </v>
      </c>
      <c r="F633" s="1" t="str">
        <f>"医療法人　弥高"</f>
        <v>医療法人　弥高</v>
      </c>
      <c r="G633" s="1" t="str">
        <f>"H30.03.01"</f>
        <v>H30.03.01</v>
      </c>
      <c r="H633" s="1" t="str">
        <f t="shared" si="32"/>
        <v>開設中</v>
      </c>
      <c r="I633" s="1">
        <v>0</v>
      </c>
      <c r="J633" s="1">
        <v>0</v>
      </c>
      <c r="K633" s="1">
        <v>0</v>
      </c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>
        <v>1</v>
      </c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>
        <v>1</v>
      </c>
      <c r="AR633" s="2"/>
      <c r="AS633" s="2"/>
      <c r="AT633" s="2"/>
      <c r="AU633" s="2"/>
      <c r="AV633" s="2"/>
      <c r="AW633" s="2"/>
      <c r="AX633" s="1"/>
    </row>
    <row r="634" spans="1:50" x14ac:dyDescent="0.4">
      <c r="A634" s="1" t="str">
        <f t="shared" si="33"/>
        <v>有明</v>
      </c>
      <c r="B634" s="1" t="str">
        <f>"上杉整形外科"</f>
        <v>上杉整形外科</v>
      </c>
      <c r="C634" s="1" t="str">
        <f>"064-0041"</f>
        <v>064-0041</v>
      </c>
      <c r="D634" s="1" t="s">
        <v>748</v>
      </c>
      <c r="E634" s="1" t="str">
        <f>"0968620885    "</f>
        <v xml:space="preserve">0968620885    </v>
      </c>
      <c r="F634" s="1" t="str">
        <f>"医療法人社団勇俊会"</f>
        <v>医療法人社団勇俊会</v>
      </c>
      <c r="G634" s="1" t="str">
        <f>"H30.04.01"</f>
        <v>H30.04.01</v>
      </c>
      <c r="H634" s="1" t="str">
        <f t="shared" si="32"/>
        <v>開設中</v>
      </c>
      <c r="I634" s="1">
        <v>0</v>
      </c>
      <c r="J634" s="1">
        <v>0</v>
      </c>
      <c r="K634" s="1">
        <v>0</v>
      </c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>
        <v>1</v>
      </c>
      <c r="W634" s="2"/>
      <c r="X634" s="2"/>
      <c r="Y634" s="2">
        <v>1</v>
      </c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>
        <v>1</v>
      </c>
      <c r="AR634" s="2"/>
      <c r="AS634" s="2"/>
      <c r="AT634" s="2"/>
      <c r="AU634" s="2"/>
      <c r="AV634" s="2"/>
      <c r="AW634" s="2"/>
      <c r="AX634" s="1"/>
    </row>
    <row r="635" spans="1:50" x14ac:dyDescent="0.4">
      <c r="A635" s="1" t="str">
        <f t="shared" si="33"/>
        <v>有明</v>
      </c>
      <c r="B635" s="1" t="str">
        <f>"特別養護老人ホームサポートハウスきらきら"</f>
        <v>特別養護老人ホームサポートハウスきらきら</v>
      </c>
      <c r="C635" s="1" t="str">
        <f>"861-0803"</f>
        <v>861-0803</v>
      </c>
      <c r="D635" s="1" t="s">
        <v>749</v>
      </c>
      <c r="E635" s="1" t="str">
        <f>"0968625755    "</f>
        <v xml:space="preserve">0968625755    </v>
      </c>
      <c r="F635" s="1" t="str">
        <f>"社会福祉法人　きらきら"</f>
        <v>社会福祉法人　きらきら</v>
      </c>
      <c r="G635" s="1" t="str">
        <f>"H30.11.01"</f>
        <v>H30.11.01</v>
      </c>
      <c r="H635" s="1" t="str">
        <f t="shared" si="32"/>
        <v>開設中</v>
      </c>
      <c r="I635" s="1">
        <v>0</v>
      </c>
      <c r="J635" s="1">
        <v>0</v>
      </c>
      <c r="K635" s="1">
        <v>0</v>
      </c>
      <c r="L635" s="2">
        <v>1</v>
      </c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>
        <v>1</v>
      </c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1"/>
    </row>
    <row r="636" spans="1:50" x14ac:dyDescent="0.4">
      <c r="A636" s="1" t="str">
        <f t="shared" si="33"/>
        <v>有明</v>
      </c>
      <c r="B636" s="1" t="str">
        <f>"おやまだ耳鼻咽喉科クリニック"</f>
        <v>おやまだ耳鼻咽喉科クリニック</v>
      </c>
      <c r="C636" s="1" t="str">
        <f>"865-0065"</f>
        <v>865-0065</v>
      </c>
      <c r="D636" s="1" t="s">
        <v>750</v>
      </c>
      <c r="E636" s="1" t="str">
        <f>"0968710808    "</f>
        <v xml:space="preserve">0968710808    </v>
      </c>
      <c r="F636" s="1" t="str">
        <f>"医療法人社団　青空会"</f>
        <v>医療法人社団　青空会</v>
      </c>
      <c r="G636" s="1" t="str">
        <f>"R01.11.14"</f>
        <v>R01.11.14</v>
      </c>
      <c r="H636" s="1" t="str">
        <f t="shared" si="32"/>
        <v>開設中</v>
      </c>
      <c r="I636" s="1">
        <v>0</v>
      </c>
      <c r="J636" s="1">
        <v>0</v>
      </c>
      <c r="K636" s="1">
        <v>0</v>
      </c>
      <c r="L636" s="2"/>
      <c r="M636" s="2"/>
      <c r="N636" s="2"/>
      <c r="O636" s="2"/>
      <c r="P636" s="2"/>
      <c r="Q636" s="2"/>
      <c r="R636" s="2"/>
      <c r="S636" s="2"/>
      <c r="T636" s="2"/>
      <c r="U636" s="2">
        <v>1</v>
      </c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>
        <v>1</v>
      </c>
      <c r="AP636" s="2"/>
      <c r="AQ636" s="2"/>
      <c r="AR636" s="2"/>
      <c r="AS636" s="2"/>
      <c r="AT636" s="2"/>
      <c r="AU636" s="2"/>
      <c r="AV636" s="2"/>
      <c r="AW636" s="2"/>
      <c r="AX636" s="1" t="s">
        <v>111</v>
      </c>
    </row>
    <row r="637" spans="1:50" x14ac:dyDescent="0.4">
      <c r="A637" s="1" t="str">
        <f t="shared" si="33"/>
        <v>有明</v>
      </c>
      <c r="B637" s="1" t="str">
        <f>"泌尿器科内科むらかみクリニック"</f>
        <v>泌尿器科内科むらかみクリニック</v>
      </c>
      <c r="C637" s="1" t="str">
        <f>"865-0051"</f>
        <v>865-0051</v>
      </c>
      <c r="D637" s="1" t="s">
        <v>751</v>
      </c>
      <c r="E637" s="1" t="str">
        <f>"0968578615    "</f>
        <v xml:space="preserve">0968578615    </v>
      </c>
      <c r="F637" s="1" t="str">
        <f>"医療法人　熊本上翔会"</f>
        <v>医療法人　熊本上翔会</v>
      </c>
      <c r="G637" s="1" t="str">
        <f>"R04.07.01"</f>
        <v>R04.07.01</v>
      </c>
      <c r="H637" s="1" t="str">
        <f t="shared" si="32"/>
        <v>開設中</v>
      </c>
      <c r="I637" s="1">
        <v>0</v>
      </c>
      <c r="J637" s="1">
        <v>0</v>
      </c>
      <c r="K637" s="1">
        <v>0</v>
      </c>
      <c r="L637" s="2">
        <v>1</v>
      </c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>
        <v>1</v>
      </c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1"/>
    </row>
    <row r="638" spans="1:50" x14ac:dyDescent="0.4">
      <c r="A638" s="1" t="str">
        <f t="shared" si="33"/>
        <v>有明</v>
      </c>
      <c r="B638" s="1" t="str">
        <f>"もみの木こどもクリニック"</f>
        <v>もみの木こどもクリニック</v>
      </c>
      <c r="C638" s="1" t="str">
        <f>"865-0065"</f>
        <v>865-0065</v>
      </c>
      <c r="D638" s="1" t="s">
        <v>752</v>
      </c>
      <c r="E638" s="1" t="str">
        <f>"0968720033    "</f>
        <v xml:space="preserve">0968720033    </v>
      </c>
      <c r="F638" s="1" t="str">
        <f>"医療法人　くるる"</f>
        <v>医療法人　くるる</v>
      </c>
      <c r="G638" s="1" t="str">
        <f>"R04.10.03"</f>
        <v>R04.10.03</v>
      </c>
      <c r="H638" s="1" t="str">
        <f t="shared" si="32"/>
        <v>開設中</v>
      </c>
      <c r="I638" s="1">
        <v>0</v>
      </c>
      <c r="J638" s="1">
        <v>0</v>
      </c>
      <c r="K638" s="1">
        <v>0</v>
      </c>
      <c r="L638" s="2"/>
      <c r="M638" s="2"/>
      <c r="N638" s="2"/>
      <c r="O638" s="2"/>
      <c r="P638" s="2"/>
      <c r="Q638" s="2"/>
      <c r="R638" s="2"/>
      <c r="S638" s="2"/>
      <c r="T638" s="2"/>
      <c r="U638" s="2">
        <v>1</v>
      </c>
      <c r="V638" s="2"/>
      <c r="W638" s="2">
        <v>1</v>
      </c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1"/>
    </row>
    <row r="639" spans="1:50" x14ac:dyDescent="0.4">
      <c r="A639" s="1" t="str">
        <f t="shared" si="33"/>
        <v>有明</v>
      </c>
      <c r="B639" s="1" t="str">
        <f>"玉名脳神経外科医院"</f>
        <v>玉名脳神経外科医院</v>
      </c>
      <c r="C639" s="1" t="str">
        <f>"865-0016"</f>
        <v>865-0016</v>
      </c>
      <c r="D639" s="1" t="s">
        <v>753</v>
      </c>
      <c r="E639" s="1" t="str">
        <f>"0968751511    "</f>
        <v xml:space="preserve">0968751511    </v>
      </c>
      <c r="F639" s="1" t="str">
        <f>"医療法人悠紀会"</f>
        <v>医療法人悠紀会</v>
      </c>
      <c r="G639" s="1" t="str">
        <f>"R05.08.01"</f>
        <v>R05.08.01</v>
      </c>
      <c r="H639" s="1" t="str">
        <f t="shared" si="32"/>
        <v>開設中</v>
      </c>
      <c r="I639" s="1">
        <v>0</v>
      </c>
      <c r="J639" s="1">
        <v>0</v>
      </c>
      <c r="K639" s="1">
        <v>0</v>
      </c>
      <c r="L639" s="2">
        <v>1</v>
      </c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>
        <v>1</v>
      </c>
      <c r="Y639" s="2">
        <v>1</v>
      </c>
      <c r="Z639" s="2"/>
      <c r="AA639" s="2"/>
      <c r="AB639" s="2">
        <v>1</v>
      </c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1"/>
    </row>
    <row r="640" spans="1:50" x14ac:dyDescent="0.4">
      <c r="A640" s="1" t="str">
        <f t="shared" ref="A640:A671" si="34">"宇城"</f>
        <v>宇城</v>
      </c>
      <c r="B640" s="1" t="str">
        <f>"宇土中央クリニック"</f>
        <v>宇土中央クリニック</v>
      </c>
      <c r="C640" s="1" t="str">
        <f>"869-0422"</f>
        <v>869-0422</v>
      </c>
      <c r="D640" s="1" t="s">
        <v>754</v>
      </c>
      <c r="E640" s="1" t="str">
        <f>"0964221600    "</f>
        <v xml:space="preserve">0964221600    </v>
      </c>
      <c r="F640" s="1" t="str">
        <f>"医療法人　社団三村・久木山会"</f>
        <v>医療法人　社団三村・久木山会</v>
      </c>
      <c r="G640" s="1" t="str">
        <f>"H03.08.01"</f>
        <v>H03.08.01</v>
      </c>
      <c r="H640" s="1" t="str">
        <f t="shared" si="32"/>
        <v>開設中</v>
      </c>
      <c r="I640" s="1">
        <v>10</v>
      </c>
      <c r="J640" s="1">
        <v>10</v>
      </c>
      <c r="K640" s="1">
        <v>0</v>
      </c>
      <c r="L640" s="2">
        <v>1</v>
      </c>
      <c r="M640" s="2"/>
      <c r="N640" s="2"/>
      <c r="O640" s="2"/>
      <c r="P640" s="2"/>
      <c r="Q640" s="2"/>
      <c r="R640" s="2"/>
      <c r="S640" s="2"/>
      <c r="T640" s="2">
        <v>1</v>
      </c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1"/>
    </row>
    <row r="641" spans="1:50" x14ac:dyDescent="0.4">
      <c r="A641" s="1" t="str">
        <f t="shared" si="34"/>
        <v>宇城</v>
      </c>
      <c r="B641" s="1" t="str">
        <f>"尾崎医院"</f>
        <v>尾崎医院</v>
      </c>
      <c r="C641" s="1" t="str">
        <f>"869-0431"</f>
        <v>869-0431</v>
      </c>
      <c r="D641" s="1" t="s">
        <v>755</v>
      </c>
      <c r="E641" s="1" t="str">
        <f>"0964220241    "</f>
        <v xml:space="preserve">0964220241    </v>
      </c>
      <c r="F641" s="1" t="str">
        <f>"医療法人社団　尾崎医院"</f>
        <v>医療法人社団　尾崎医院</v>
      </c>
      <c r="G641" s="1" t="str">
        <f>"H01.03.01"</f>
        <v>H01.03.01</v>
      </c>
      <c r="H641" s="1" t="str">
        <f t="shared" si="32"/>
        <v>開設中</v>
      </c>
      <c r="I641" s="1">
        <v>19</v>
      </c>
      <c r="J641" s="1">
        <v>19</v>
      </c>
      <c r="K641" s="1">
        <v>0</v>
      </c>
      <c r="L641" s="2">
        <v>1</v>
      </c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>
        <v>1</v>
      </c>
      <c r="AX641" s="1" t="s">
        <v>112</v>
      </c>
    </row>
    <row r="642" spans="1:50" s="7" customFormat="1" x14ac:dyDescent="0.4">
      <c r="A642" s="5" t="str">
        <f t="shared" si="34"/>
        <v>宇城</v>
      </c>
      <c r="B642" s="5" t="str">
        <f>"近藤クリニック"</f>
        <v>近藤クリニック</v>
      </c>
      <c r="C642" s="5" t="str">
        <f>"869-0416"</f>
        <v>869-0416</v>
      </c>
      <c r="D642" s="5" t="s">
        <v>922</v>
      </c>
      <c r="E642" s="5" t="str">
        <f>"0964235558    "</f>
        <v xml:space="preserve">0964235558    </v>
      </c>
      <c r="F642" s="5" t="str">
        <f>"近藤　浩幸"</f>
        <v>近藤　浩幸</v>
      </c>
      <c r="G642" s="5" t="str">
        <f>"H07.05.16"</f>
        <v>H07.05.16</v>
      </c>
      <c r="H642" s="5" t="str">
        <f t="shared" si="32"/>
        <v>開設中</v>
      </c>
      <c r="I642" s="5">
        <v>0</v>
      </c>
      <c r="J642" s="5">
        <v>0</v>
      </c>
      <c r="K642" s="5">
        <v>0</v>
      </c>
      <c r="L642" s="6">
        <v>1</v>
      </c>
      <c r="M642" s="6"/>
      <c r="N642" s="6"/>
      <c r="O642" s="6"/>
      <c r="P642" s="6"/>
      <c r="Q642" s="6"/>
      <c r="R642" s="6"/>
      <c r="S642" s="6">
        <v>1</v>
      </c>
      <c r="T642" s="6"/>
      <c r="U642" s="6"/>
      <c r="V642" s="6"/>
      <c r="W642" s="6"/>
      <c r="X642" s="6">
        <v>1</v>
      </c>
      <c r="Y642" s="6"/>
      <c r="Z642" s="6"/>
      <c r="AA642" s="6"/>
      <c r="AB642" s="6"/>
      <c r="AC642" s="6"/>
      <c r="AD642" s="6"/>
      <c r="AE642" s="6"/>
      <c r="AF642" s="6"/>
      <c r="AG642" s="6">
        <v>1</v>
      </c>
      <c r="AH642" s="6"/>
      <c r="AI642" s="6"/>
      <c r="AJ642" s="6"/>
      <c r="AK642" s="6"/>
      <c r="AL642" s="6"/>
      <c r="AM642" s="6"/>
      <c r="AN642" s="6"/>
      <c r="AO642" s="6"/>
      <c r="AP642" s="6">
        <v>1</v>
      </c>
      <c r="AQ642" s="6">
        <v>1</v>
      </c>
      <c r="AR642" s="6">
        <v>1</v>
      </c>
      <c r="AS642" s="6"/>
      <c r="AT642" s="6"/>
      <c r="AU642" s="6"/>
      <c r="AV642" s="6"/>
      <c r="AW642" s="6">
        <v>1</v>
      </c>
      <c r="AX642" s="5"/>
    </row>
    <row r="643" spans="1:50" x14ac:dyDescent="0.4">
      <c r="A643" s="1" t="str">
        <f t="shared" si="34"/>
        <v>宇城</v>
      </c>
      <c r="B643" s="1" t="str">
        <f>"田山産科婦人科医院"</f>
        <v>田山産科婦人科医院</v>
      </c>
      <c r="C643" s="1" t="str">
        <f>"869-0422"</f>
        <v>869-0422</v>
      </c>
      <c r="D643" s="1" t="s">
        <v>756</v>
      </c>
      <c r="E643" s="1" t="str">
        <f>"0964225522    "</f>
        <v xml:space="preserve">0964225522    </v>
      </c>
      <c r="F643" s="1" t="str">
        <f>"医療法人　社団田山会"</f>
        <v>医療法人　社団田山会</v>
      </c>
      <c r="G643" s="1" t="str">
        <f>"H04.08.03"</f>
        <v>H04.08.03</v>
      </c>
      <c r="H643" s="1" t="str">
        <f t="shared" si="32"/>
        <v>開設中</v>
      </c>
      <c r="I643" s="1">
        <v>19</v>
      </c>
      <c r="J643" s="1">
        <v>19</v>
      </c>
      <c r="K643" s="1">
        <v>0</v>
      </c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>
        <v>1</v>
      </c>
      <c r="AM643" s="2">
        <v>1</v>
      </c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1"/>
    </row>
    <row r="644" spans="1:50" x14ac:dyDescent="0.4">
      <c r="A644" s="1" t="str">
        <f t="shared" si="34"/>
        <v>宇城</v>
      </c>
      <c r="B644" s="1" t="str">
        <f>"特別養護老人ホーム照古苑"</f>
        <v>特別養護老人ホーム照古苑</v>
      </c>
      <c r="C644" s="1" t="str">
        <f>"869-0421"</f>
        <v>869-0421</v>
      </c>
      <c r="D644" s="1" t="s">
        <v>757</v>
      </c>
      <c r="E644" s="1" t="str">
        <f>"0964224100    "</f>
        <v xml:space="preserve">0964224100    </v>
      </c>
      <c r="F644" s="1" t="str">
        <f>"社会福祉法人　白日会"</f>
        <v>社会福祉法人　白日会</v>
      </c>
      <c r="G644" s="1" t="str">
        <f>"S52.04.01"</f>
        <v>S52.04.01</v>
      </c>
      <c r="H644" s="1" t="str">
        <f t="shared" si="32"/>
        <v>開設中</v>
      </c>
      <c r="I644" s="1">
        <v>0</v>
      </c>
      <c r="J644" s="1">
        <v>0</v>
      </c>
      <c r="K644" s="1">
        <v>0</v>
      </c>
      <c r="L644" s="2">
        <v>1</v>
      </c>
      <c r="M644" s="2"/>
      <c r="N644" s="2">
        <v>1</v>
      </c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1"/>
    </row>
    <row r="645" spans="1:50" x14ac:dyDescent="0.4">
      <c r="A645" s="1" t="str">
        <f t="shared" si="34"/>
        <v>宇城</v>
      </c>
      <c r="B645" s="1" t="str">
        <f>"七川医院"</f>
        <v>七川医院</v>
      </c>
      <c r="C645" s="1" t="str">
        <f>"869-0445"</f>
        <v>869-0445</v>
      </c>
      <c r="D645" s="1" t="s">
        <v>758</v>
      </c>
      <c r="E645" s="1" t="str">
        <f>"0964220555    "</f>
        <v xml:space="preserve">0964220555    </v>
      </c>
      <c r="F645" s="1" t="str">
        <f>"七川　幸士郎"</f>
        <v>七川　幸士郎</v>
      </c>
      <c r="G645" s="1" t="str">
        <f>"S38.11.01"</f>
        <v>S38.11.01</v>
      </c>
      <c r="H645" s="1" t="str">
        <f t="shared" si="32"/>
        <v>開設中</v>
      </c>
      <c r="I645" s="1">
        <v>0</v>
      </c>
      <c r="J645" s="1">
        <v>0</v>
      </c>
      <c r="K645" s="1">
        <v>0</v>
      </c>
      <c r="L645" s="2">
        <v>1</v>
      </c>
      <c r="M645" s="2"/>
      <c r="N645" s="2"/>
      <c r="O645" s="2"/>
      <c r="P645" s="2"/>
      <c r="Q645" s="2"/>
      <c r="R645" s="2"/>
      <c r="S645" s="2">
        <v>1</v>
      </c>
      <c r="T645" s="2"/>
      <c r="U645" s="2"/>
      <c r="V645" s="2"/>
      <c r="W645" s="2"/>
      <c r="X645" s="2">
        <v>1</v>
      </c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1"/>
    </row>
    <row r="646" spans="1:50" x14ac:dyDescent="0.4">
      <c r="A646" s="1" t="str">
        <f t="shared" si="34"/>
        <v>宇城</v>
      </c>
      <c r="B646" s="1" t="str">
        <f>"皮ふ科耳鼻咽喉科　草場医院"</f>
        <v>皮ふ科耳鼻咽喉科　草場医院</v>
      </c>
      <c r="C646" s="1" t="str">
        <f>"869-0407"</f>
        <v>869-0407</v>
      </c>
      <c r="D646" s="1" t="s">
        <v>759</v>
      </c>
      <c r="E646" s="1" t="str">
        <f>"0964235851    "</f>
        <v xml:space="preserve">0964235851    </v>
      </c>
      <c r="F646" s="1" t="str">
        <f>"医療法人　社団草場会"</f>
        <v>医療法人　社団草場会</v>
      </c>
      <c r="G646" s="1" t="str">
        <f>"H08.06.01"</f>
        <v>H08.06.01</v>
      </c>
      <c r="H646" s="1" t="str">
        <f t="shared" si="32"/>
        <v>開設中</v>
      </c>
      <c r="I646" s="1">
        <v>0</v>
      </c>
      <c r="J646" s="1">
        <v>0</v>
      </c>
      <c r="K646" s="1">
        <v>0</v>
      </c>
      <c r="L646" s="2"/>
      <c r="M646" s="2"/>
      <c r="N646" s="2"/>
      <c r="O646" s="2"/>
      <c r="P646" s="2"/>
      <c r="Q646" s="2"/>
      <c r="R646" s="2"/>
      <c r="S646" s="2"/>
      <c r="T646" s="2"/>
      <c r="U646" s="2">
        <v>1</v>
      </c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>
        <v>1</v>
      </c>
      <c r="AJ646" s="2"/>
      <c r="AK646" s="2"/>
      <c r="AL646" s="2"/>
      <c r="AM646" s="2"/>
      <c r="AN646" s="2"/>
      <c r="AO646" s="2">
        <v>1</v>
      </c>
      <c r="AP646" s="2"/>
      <c r="AQ646" s="2"/>
      <c r="AR646" s="2"/>
      <c r="AS646" s="2"/>
      <c r="AT646" s="2"/>
      <c r="AU646" s="2"/>
      <c r="AV646" s="2"/>
      <c r="AW646" s="2"/>
      <c r="AX646" s="1"/>
    </row>
    <row r="647" spans="1:50" x14ac:dyDescent="0.4">
      <c r="A647" s="1" t="str">
        <f t="shared" si="34"/>
        <v>宇城</v>
      </c>
      <c r="B647" s="1" t="str">
        <f>"福田医院"</f>
        <v>福田医院</v>
      </c>
      <c r="C647" s="1" t="str">
        <f>"869-0431"</f>
        <v>869-0431</v>
      </c>
      <c r="D647" s="1" t="s">
        <v>760</v>
      </c>
      <c r="E647" s="1" t="str">
        <f>"0964220002    "</f>
        <v xml:space="preserve">0964220002    </v>
      </c>
      <c r="F647" s="1" t="str">
        <f>"福田　道広"</f>
        <v>福田　道広</v>
      </c>
      <c r="G647" s="1" t="str">
        <f>"S33.09.05"</f>
        <v>S33.09.05</v>
      </c>
      <c r="H647" s="1" t="str">
        <f t="shared" si="32"/>
        <v>開設中</v>
      </c>
      <c r="I647" s="1">
        <v>0</v>
      </c>
      <c r="J647" s="1">
        <v>0</v>
      </c>
      <c r="K647" s="1">
        <v>0</v>
      </c>
      <c r="L647" s="2">
        <v>1</v>
      </c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>
        <v>1</v>
      </c>
      <c r="X647" s="2">
        <v>1</v>
      </c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1"/>
    </row>
    <row r="648" spans="1:50" x14ac:dyDescent="0.4">
      <c r="A648" s="1" t="str">
        <f t="shared" si="34"/>
        <v>宇城</v>
      </c>
      <c r="B648" s="1" t="str">
        <f>"松田内科循環器科クリニック"</f>
        <v>松田内科循環器科クリニック</v>
      </c>
      <c r="C648" s="1" t="str">
        <f>"869-0406"</f>
        <v>869-0406</v>
      </c>
      <c r="D648" s="1" t="s">
        <v>761</v>
      </c>
      <c r="E648" s="1" t="str">
        <f>"0964236555    "</f>
        <v xml:space="preserve">0964236555    </v>
      </c>
      <c r="F648" s="1" t="str">
        <f>"松田　洋実"</f>
        <v>松田　洋実</v>
      </c>
      <c r="G648" s="1" t="str">
        <f>"H15.08.11"</f>
        <v>H15.08.11</v>
      </c>
      <c r="H648" s="1" t="str">
        <f t="shared" si="32"/>
        <v>開設中</v>
      </c>
      <c r="I648" s="1">
        <v>0</v>
      </c>
      <c r="J648" s="1">
        <v>0</v>
      </c>
      <c r="K648" s="1">
        <v>0</v>
      </c>
      <c r="L648" s="2">
        <v>1</v>
      </c>
      <c r="M648" s="2"/>
      <c r="N648" s="2"/>
      <c r="O648" s="2"/>
      <c r="P648" s="2"/>
      <c r="Q648" s="2"/>
      <c r="R648" s="2"/>
      <c r="S648" s="2"/>
      <c r="T648" s="2">
        <v>1</v>
      </c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1"/>
    </row>
    <row r="649" spans="1:50" x14ac:dyDescent="0.4">
      <c r="A649" s="1" t="str">
        <f t="shared" si="34"/>
        <v>宇城</v>
      </c>
      <c r="B649" s="1" t="str">
        <f>"むらかみ眼科クリニック"</f>
        <v>むらかみ眼科クリニック</v>
      </c>
      <c r="C649" s="1" t="str">
        <f>"869-0421"</f>
        <v>869-0421</v>
      </c>
      <c r="D649" s="1" t="s">
        <v>762</v>
      </c>
      <c r="E649" s="1" t="str">
        <f>"0964226600    "</f>
        <v xml:space="preserve">0964226600    </v>
      </c>
      <c r="F649" s="1" t="str">
        <f>"医療法人　湘悠会"</f>
        <v>医療法人　湘悠会</v>
      </c>
      <c r="G649" s="1" t="str">
        <f>"H08.07.01"</f>
        <v>H08.07.01</v>
      </c>
      <c r="H649" s="1" t="str">
        <f t="shared" si="32"/>
        <v>開設中</v>
      </c>
      <c r="I649" s="1">
        <v>0</v>
      </c>
      <c r="J649" s="1">
        <v>0</v>
      </c>
      <c r="K649" s="1">
        <v>0</v>
      </c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>
        <v>1</v>
      </c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>
        <v>1</v>
      </c>
      <c r="AO649" s="2"/>
      <c r="AP649" s="2"/>
      <c r="AQ649" s="2"/>
      <c r="AR649" s="2"/>
      <c r="AS649" s="2"/>
      <c r="AT649" s="2"/>
      <c r="AU649" s="2"/>
      <c r="AV649" s="2"/>
      <c r="AW649" s="2"/>
      <c r="AX649" s="1"/>
    </row>
    <row r="650" spans="1:50" x14ac:dyDescent="0.4">
      <c r="A650" s="1" t="str">
        <f t="shared" si="34"/>
        <v>宇城</v>
      </c>
      <c r="B650" s="1" t="str">
        <f>"もろが整形外科医院"</f>
        <v>もろが整形外科医院</v>
      </c>
      <c r="C650" s="1" t="str">
        <f>"869-0432"</f>
        <v>869-0432</v>
      </c>
      <c r="D650" s="1" t="s">
        <v>763</v>
      </c>
      <c r="E650" s="1" t="str">
        <f>"0964232341    "</f>
        <v xml:space="preserve">0964232341    </v>
      </c>
      <c r="F650" s="1" t="str">
        <f>"医療法人　社団もろが整形外科医院"</f>
        <v>医療法人　社団もろが整形外科医院</v>
      </c>
      <c r="G650" s="1" t="str">
        <f>"H01.04.01"</f>
        <v>H01.04.01</v>
      </c>
      <c r="H650" s="1" t="str">
        <f t="shared" si="32"/>
        <v>開設中</v>
      </c>
      <c r="I650" s="1">
        <v>0</v>
      </c>
      <c r="J650" s="1">
        <v>0</v>
      </c>
      <c r="K650" s="1">
        <v>0</v>
      </c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>
        <v>1</v>
      </c>
      <c r="W650" s="2"/>
      <c r="X650" s="2"/>
      <c r="Y650" s="2">
        <v>1</v>
      </c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>
        <v>1</v>
      </c>
      <c r="AR650" s="2"/>
      <c r="AS650" s="2"/>
      <c r="AT650" s="2"/>
      <c r="AU650" s="2"/>
      <c r="AV650" s="2"/>
      <c r="AW650" s="2"/>
      <c r="AX650" s="1"/>
    </row>
    <row r="651" spans="1:50" x14ac:dyDescent="0.4">
      <c r="A651" s="1" t="str">
        <f t="shared" si="34"/>
        <v>宇城</v>
      </c>
      <c r="B651" s="1" t="str">
        <f>"やまもと泌尿器科クリニック"</f>
        <v>やまもと泌尿器科クリニック</v>
      </c>
      <c r="C651" s="1" t="str">
        <f>"869-0421"</f>
        <v>869-0421</v>
      </c>
      <c r="D651" s="1" t="s">
        <v>764</v>
      </c>
      <c r="E651" s="1" t="str">
        <f>"0964581411    "</f>
        <v xml:space="preserve">0964581411    </v>
      </c>
      <c r="F651" s="1" t="str">
        <f>"医療法人社団　やまもと泌尿器科クリニック"</f>
        <v>医療法人社団　やまもと泌尿器科クリニック</v>
      </c>
      <c r="G651" s="1" t="str">
        <f>"H14.12.01"</f>
        <v>H14.12.01</v>
      </c>
      <c r="H651" s="1" t="str">
        <f t="shared" si="32"/>
        <v>開設中</v>
      </c>
      <c r="I651" s="1">
        <v>0</v>
      </c>
      <c r="J651" s="1">
        <v>0</v>
      </c>
      <c r="K651" s="1">
        <v>0</v>
      </c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>
        <v>1</v>
      </c>
      <c r="AG651" s="2"/>
      <c r="AH651" s="2"/>
      <c r="AI651" s="2"/>
      <c r="AJ651" s="2">
        <v>1</v>
      </c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1"/>
    </row>
    <row r="652" spans="1:50" x14ac:dyDescent="0.4">
      <c r="A652" s="1" t="str">
        <f t="shared" si="34"/>
        <v>宇城</v>
      </c>
      <c r="B652" s="1" t="str">
        <f>"池田胃腸科内科"</f>
        <v>池田胃腸科内科</v>
      </c>
      <c r="C652" s="1" t="str">
        <f>"869-3205"</f>
        <v>869-3205</v>
      </c>
      <c r="D652" s="1" t="s">
        <v>765</v>
      </c>
      <c r="E652" s="1" t="str">
        <f>"0964522610    "</f>
        <v xml:space="preserve">0964522610    </v>
      </c>
      <c r="F652" s="1" t="str">
        <f>"池田　和隆"</f>
        <v>池田　和隆</v>
      </c>
      <c r="G652" s="1" t="str">
        <f>"S33.02.02"</f>
        <v>S33.02.02</v>
      </c>
      <c r="H652" s="1" t="str">
        <f t="shared" si="32"/>
        <v>開設中</v>
      </c>
      <c r="I652" s="1">
        <v>0</v>
      </c>
      <c r="J652" s="1">
        <v>0</v>
      </c>
      <c r="K652" s="1">
        <v>0</v>
      </c>
      <c r="L652" s="2">
        <v>1</v>
      </c>
      <c r="M652" s="2"/>
      <c r="N652" s="2"/>
      <c r="O652" s="2"/>
      <c r="P652" s="2"/>
      <c r="Q652" s="2"/>
      <c r="R652" s="2">
        <v>1</v>
      </c>
      <c r="S652" s="2">
        <v>1</v>
      </c>
      <c r="T652" s="2">
        <v>1</v>
      </c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>
        <v>1</v>
      </c>
      <c r="AS652" s="2"/>
      <c r="AT652" s="2"/>
      <c r="AU652" s="2"/>
      <c r="AV652" s="2"/>
      <c r="AW652" s="2"/>
      <c r="AX652" s="1"/>
    </row>
    <row r="653" spans="1:50" x14ac:dyDescent="0.4">
      <c r="A653" s="1" t="str">
        <f t="shared" si="34"/>
        <v>宇城</v>
      </c>
      <c r="B653" s="1" t="str">
        <f>"佐藤医院"</f>
        <v>佐藤医院</v>
      </c>
      <c r="C653" s="1" t="str">
        <f>"869-3204"</f>
        <v>869-3204</v>
      </c>
      <c r="D653" s="1" t="s">
        <v>766</v>
      </c>
      <c r="E653" s="1" t="str">
        <f>"0964522748    "</f>
        <v xml:space="preserve">0964522748    </v>
      </c>
      <c r="F653" s="1" t="str">
        <f>"佐藤　立行"</f>
        <v>佐藤　立行</v>
      </c>
      <c r="G653" s="1" t="str">
        <f>"S60.10.19"</f>
        <v>S60.10.19</v>
      </c>
      <c r="H653" s="1" t="str">
        <f t="shared" si="32"/>
        <v>開設中</v>
      </c>
      <c r="I653" s="1">
        <v>0</v>
      </c>
      <c r="J653" s="1">
        <v>0</v>
      </c>
      <c r="K653" s="1">
        <v>0</v>
      </c>
      <c r="L653" s="2">
        <v>1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>
        <v>1</v>
      </c>
      <c r="AX653" s="1"/>
    </row>
    <row r="654" spans="1:50" x14ac:dyDescent="0.4">
      <c r="A654" s="1" t="str">
        <f t="shared" si="34"/>
        <v>宇城</v>
      </c>
      <c r="B654" s="1" t="str">
        <f>"特別養護老人ホーム豊洋園医務室"</f>
        <v>特別養護老人ホーム豊洋園医務室</v>
      </c>
      <c r="C654" s="1" t="str">
        <f>"869-3413"</f>
        <v>869-3413</v>
      </c>
      <c r="D654" s="1" t="s">
        <v>767</v>
      </c>
      <c r="E654" s="1" t="str">
        <f>"0964541100    "</f>
        <v xml:space="preserve">0964541100    </v>
      </c>
      <c r="F654" s="1" t="str">
        <f>"社会福祉法人　黎明福祉会"</f>
        <v>社会福祉法人　黎明福祉会</v>
      </c>
      <c r="G654" s="1" t="str">
        <f>"S63.04.01"</f>
        <v>S63.04.01</v>
      </c>
      <c r="H654" s="1" t="str">
        <f t="shared" si="32"/>
        <v>開設中</v>
      </c>
      <c r="I654" s="1">
        <v>0</v>
      </c>
      <c r="J654" s="1">
        <v>0</v>
      </c>
      <c r="K654" s="1">
        <v>0</v>
      </c>
      <c r="L654" s="2">
        <v>1</v>
      </c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1"/>
    </row>
    <row r="655" spans="1:50" x14ac:dyDescent="0.4">
      <c r="A655" s="1" t="str">
        <f t="shared" si="34"/>
        <v>宇城</v>
      </c>
      <c r="B655" s="1" t="str">
        <f>"三角クリニック"</f>
        <v>三角クリニック</v>
      </c>
      <c r="C655" s="1" t="str">
        <f>"869-3207"</f>
        <v>869-3207</v>
      </c>
      <c r="D655" s="1" t="s">
        <v>768</v>
      </c>
      <c r="E655" s="1" t="str">
        <f>"0964523003    "</f>
        <v xml:space="preserve">0964523003    </v>
      </c>
      <c r="F655" s="1" t="str">
        <f>"医療法人　厚生会"</f>
        <v>医療法人　厚生会</v>
      </c>
      <c r="G655" s="1" t="str">
        <f>"H05.10.01"</f>
        <v>H05.10.01</v>
      </c>
      <c r="H655" s="1" t="str">
        <f t="shared" si="32"/>
        <v>開設中</v>
      </c>
      <c r="I655" s="1">
        <v>0</v>
      </c>
      <c r="J655" s="1">
        <v>0</v>
      </c>
      <c r="K655" s="1">
        <v>0</v>
      </c>
      <c r="L655" s="2">
        <v>1</v>
      </c>
      <c r="M655" s="2"/>
      <c r="N655" s="2"/>
      <c r="O655" s="2"/>
      <c r="P655" s="2"/>
      <c r="Q655" s="2"/>
      <c r="R655" s="2">
        <v>1</v>
      </c>
      <c r="S655" s="2"/>
      <c r="T655" s="2"/>
      <c r="U655" s="2"/>
      <c r="V655" s="2"/>
      <c r="W655" s="2"/>
      <c r="X655" s="2">
        <v>1</v>
      </c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1"/>
    </row>
    <row r="656" spans="1:50" x14ac:dyDescent="0.4">
      <c r="A656" s="1" t="str">
        <f t="shared" si="34"/>
        <v>宇城</v>
      </c>
      <c r="B656" s="1" t="str">
        <f>"きむら医院"</f>
        <v>きむら医院</v>
      </c>
      <c r="C656" s="1" t="str">
        <f>"869-0551"</f>
        <v>869-0551</v>
      </c>
      <c r="D656" s="1" t="s">
        <v>769</v>
      </c>
      <c r="E656" s="1" t="str">
        <f>"0964320437    "</f>
        <v xml:space="preserve">0964320437    </v>
      </c>
      <c r="F656" s="1" t="str">
        <f>"医療法人　木村会"</f>
        <v>医療法人　木村会</v>
      </c>
      <c r="G656" s="1" t="str">
        <f>"H08.10.01"</f>
        <v>H08.10.01</v>
      </c>
      <c r="H656" s="1" t="str">
        <f t="shared" si="32"/>
        <v>開設中</v>
      </c>
      <c r="I656" s="1">
        <v>0</v>
      </c>
      <c r="J656" s="1">
        <v>0</v>
      </c>
      <c r="K656" s="1">
        <v>0</v>
      </c>
      <c r="L656" s="2">
        <v>1</v>
      </c>
      <c r="M656" s="2"/>
      <c r="N656" s="2"/>
      <c r="O656" s="2"/>
      <c r="P656" s="2"/>
      <c r="Q656" s="2"/>
      <c r="R656" s="2">
        <v>1</v>
      </c>
      <c r="S656" s="2"/>
      <c r="T656" s="2"/>
      <c r="U656" s="2"/>
      <c r="V656" s="2"/>
      <c r="W656" s="2"/>
      <c r="X656" s="2">
        <v>1</v>
      </c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1"/>
    </row>
    <row r="657" spans="1:50" x14ac:dyDescent="0.4">
      <c r="A657" s="1" t="str">
        <f t="shared" si="34"/>
        <v>宇城</v>
      </c>
      <c r="B657" s="1" t="str">
        <f>"小篠内科医院"</f>
        <v>小篠内科医院</v>
      </c>
      <c r="C657" s="1" t="str">
        <f>"869-0562"</f>
        <v>869-0562</v>
      </c>
      <c r="D657" s="1" t="s">
        <v>770</v>
      </c>
      <c r="E657" s="1" t="str">
        <f>"0964331206    "</f>
        <v xml:space="preserve">0964331206    </v>
      </c>
      <c r="F657" s="1" t="str">
        <f>"医療法人　社団小篠内科医院"</f>
        <v>医療法人　社団小篠内科医院</v>
      </c>
      <c r="G657" s="1" t="str">
        <f>"H03.03.01"</f>
        <v>H03.03.01</v>
      </c>
      <c r="H657" s="1" t="str">
        <f t="shared" si="32"/>
        <v>開設中</v>
      </c>
      <c r="I657" s="1">
        <v>19</v>
      </c>
      <c r="J657" s="1">
        <v>19</v>
      </c>
      <c r="K657" s="1">
        <v>0</v>
      </c>
      <c r="L657" s="2">
        <v>1</v>
      </c>
      <c r="M657" s="2"/>
      <c r="N657" s="2"/>
      <c r="O657" s="2"/>
      <c r="P657" s="2">
        <v>1</v>
      </c>
      <c r="Q657" s="2">
        <v>1</v>
      </c>
      <c r="R657" s="2"/>
      <c r="S657" s="2">
        <v>1</v>
      </c>
      <c r="T657" s="2">
        <v>1</v>
      </c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1"/>
    </row>
    <row r="658" spans="1:50" x14ac:dyDescent="0.4">
      <c r="A658" s="1" t="str">
        <f t="shared" si="34"/>
        <v>宇城</v>
      </c>
      <c r="B658" s="1" t="str">
        <f>"特別養護老人ホーム蕉夢苑医務室"</f>
        <v>特別養護老人ホーム蕉夢苑医務室</v>
      </c>
      <c r="C658" s="1" t="str">
        <f>"869-0562"</f>
        <v>869-0562</v>
      </c>
      <c r="D658" s="1" t="s">
        <v>771</v>
      </c>
      <c r="E658" s="1" t="str">
        <f>"0964325551    "</f>
        <v xml:space="preserve">0964325551    </v>
      </c>
      <c r="F658" s="1" t="str">
        <f>"社会福祉法人　宇医会"</f>
        <v>社会福祉法人　宇医会</v>
      </c>
      <c r="G658" s="1" t="str">
        <f>"H07.02.01"</f>
        <v>H07.02.01</v>
      </c>
      <c r="H658" s="1" t="str">
        <f t="shared" si="32"/>
        <v>開設中</v>
      </c>
      <c r="I658" s="1">
        <v>0</v>
      </c>
      <c r="J658" s="1">
        <v>0</v>
      </c>
      <c r="K658" s="1">
        <v>0</v>
      </c>
      <c r="L658" s="2">
        <v>1</v>
      </c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1"/>
    </row>
    <row r="659" spans="1:50" x14ac:dyDescent="0.4">
      <c r="A659" s="1" t="str">
        <f t="shared" si="34"/>
        <v>宇城</v>
      </c>
      <c r="B659" s="1" t="str">
        <f>"泉胃腸科外科医院"</f>
        <v>泉胃腸科外科医院</v>
      </c>
      <c r="C659" s="1" t="str">
        <f>"869-0502"</f>
        <v>869-0502</v>
      </c>
      <c r="D659" s="1" t="s">
        <v>772</v>
      </c>
      <c r="E659" s="1" t="str">
        <f>"0964332277    "</f>
        <v xml:space="preserve">0964332277    </v>
      </c>
      <c r="F659" s="1" t="str">
        <f>"医療法人　社団泉寿会"</f>
        <v>医療法人　社団泉寿会</v>
      </c>
      <c r="G659" s="1" t="str">
        <f>"H04.09.01"</f>
        <v>H04.09.01</v>
      </c>
      <c r="H659" s="1" t="str">
        <f t="shared" si="32"/>
        <v>開設中</v>
      </c>
      <c r="I659" s="1">
        <v>0</v>
      </c>
      <c r="J659" s="1">
        <v>0</v>
      </c>
      <c r="K659" s="1">
        <v>0</v>
      </c>
      <c r="L659" s="2">
        <v>1</v>
      </c>
      <c r="M659" s="2"/>
      <c r="N659" s="2"/>
      <c r="O659" s="2"/>
      <c r="P659" s="2"/>
      <c r="Q659" s="2">
        <v>1</v>
      </c>
      <c r="R659" s="2"/>
      <c r="S659" s="2">
        <v>1</v>
      </c>
      <c r="T659" s="2"/>
      <c r="U659" s="2"/>
      <c r="V659" s="2"/>
      <c r="W659" s="2"/>
      <c r="X659" s="2">
        <v>1</v>
      </c>
      <c r="Y659" s="2"/>
      <c r="Z659" s="2"/>
      <c r="AA659" s="2"/>
      <c r="AB659" s="2"/>
      <c r="AC659" s="2"/>
      <c r="AD659" s="2"/>
      <c r="AE659" s="2"/>
      <c r="AF659" s="2"/>
      <c r="AG659" s="2">
        <v>1</v>
      </c>
      <c r="AH659" s="2"/>
      <c r="AI659" s="2"/>
      <c r="AJ659" s="2"/>
      <c r="AK659" s="2"/>
      <c r="AL659" s="2"/>
      <c r="AM659" s="2"/>
      <c r="AN659" s="2"/>
      <c r="AO659" s="2"/>
      <c r="AP659" s="2"/>
      <c r="AQ659" s="2">
        <v>1</v>
      </c>
      <c r="AR659" s="2"/>
      <c r="AS659" s="2"/>
      <c r="AT659" s="2"/>
      <c r="AU659" s="2"/>
      <c r="AV659" s="2"/>
      <c r="AW659" s="2"/>
      <c r="AX659" s="1"/>
    </row>
    <row r="660" spans="1:50" x14ac:dyDescent="0.4">
      <c r="A660" s="1" t="str">
        <f t="shared" si="34"/>
        <v>宇城</v>
      </c>
      <c r="B660" s="1" t="str">
        <f>"熊本県宇城保健所"</f>
        <v>熊本県宇城保健所</v>
      </c>
      <c r="C660" s="1" t="str">
        <f>"869-0532"</f>
        <v>869-0532</v>
      </c>
      <c r="D660" s="1" t="s">
        <v>773</v>
      </c>
      <c r="E660" s="1" t="str">
        <f>"0964322416    "</f>
        <v xml:space="preserve">0964322416    </v>
      </c>
      <c r="F660" s="1" t="str">
        <f>"熊本県"</f>
        <v>熊本県</v>
      </c>
      <c r="G660" s="1" t="str">
        <f>"H09.04.01"</f>
        <v>H09.04.01</v>
      </c>
      <c r="H660" s="1" t="str">
        <f t="shared" si="32"/>
        <v>開設中</v>
      </c>
      <c r="I660" s="1">
        <v>0</v>
      </c>
      <c r="J660" s="1">
        <v>0</v>
      </c>
      <c r="K660" s="1">
        <v>0</v>
      </c>
      <c r="L660" s="2">
        <v>1</v>
      </c>
      <c r="M660" s="2"/>
      <c r="N660" s="2">
        <v>1</v>
      </c>
      <c r="O660" s="2"/>
      <c r="P660" s="2"/>
      <c r="Q660" s="2"/>
      <c r="R660" s="2"/>
      <c r="S660" s="2"/>
      <c r="T660" s="2"/>
      <c r="U660" s="2"/>
      <c r="V660" s="2"/>
      <c r="W660" s="2">
        <v>1</v>
      </c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1"/>
    </row>
    <row r="661" spans="1:50" x14ac:dyDescent="0.4">
      <c r="A661" s="1" t="str">
        <f t="shared" si="34"/>
        <v>宇城</v>
      </c>
      <c r="B661" s="1" t="str">
        <f>"坂崎皮ふ科"</f>
        <v>坂崎皮ふ科</v>
      </c>
      <c r="C661" s="1" t="str">
        <f>"869-0502"</f>
        <v>869-0502</v>
      </c>
      <c r="D661" s="1" t="s">
        <v>774</v>
      </c>
      <c r="E661" s="1" t="str">
        <f>"0964320166    "</f>
        <v xml:space="preserve">0964320166    </v>
      </c>
      <c r="F661" s="1" t="str">
        <f>"医療法人　社団坂崎会"</f>
        <v>医療法人　社団坂崎会</v>
      </c>
      <c r="G661" s="1" t="str">
        <f>"H02.04.01"</f>
        <v>H02.04.01</v>
      </c>
      <c r="H661" s="1" t="str">
        <f t="shared" si="32"/>
        <v>開設中</v>
      </c>
      <c r="I661" s="1">
        <v>0</v>
      </c>
      <c r="J661" s="1">
        <v>0</v>
      </c>
      <c r="K661" s="1">
        <v>0</v>
      </c>
      <c r="L661" s="2"/>
      <c r="M661" s="2"/>
      <c r="N661" s="2"/>
      <c r="O661" s="2"/>
      <c r="P661" s="2"/>
      <c r="Q661" s="2"/>
      <c r="R661" s="2"/>
      <c r="S661" s="2"/>
      <c r="T661" s="2"/>
      <c r="U661" s="2">
        <v>1</v>
      </c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>
        <v>1</v>
      </c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1"/>
    </row>
    <row r="662" spans="1:50" x14ac:dyDescent="0.4">
      <c r="A662" s="1" t="str">
        <f t="shared" si="34"/>
        <v>宇城</v>
      </c>
      <c r="B662" s="1" t="str">
        <f>"清水整形外科医院"</f>
        <v>清水整形外科医院</v>
      </c>
      <c r="C662" s="1" t="str">
        <f>"869-0532"</f>
        <v>869-0532</v>
      </c>
      <c r="D662" s="1" t="s">
        <v>775</v>
      </c>
      <c r="E662" s="1" t="str">
        <f>"0964322207    "</f>
        <v xml:space="preserve">0964322207    </v>
      </c>
      <c r="F662" s="1" t="str">
        <f>"医療法人　社団仁水会"</f>
        <v>医療法人　社団仁水会</v>
      </c>
      <c r="G662" s="1" t="str">
        <f>"H07.03.01"</f>
        <v>H07.03.01</v>
      </c>
      <c r="H662" s="1" t="str">
        <f t="shared" si="32"/>
        <v>開設中</v>
      </c>
      <c r="I662" s="1">
        <v>19</v>
      </c>
      <c r="J662" s="1">
        <v>19</v>
      </c>
      <c r="K662" s="1">
        <v>0</v>
      </c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>
        <v>1</v>
      </c>
      <c r="W662" s="2"/>
      <c r="X662" s="2">
        <v>1</v>
      </c>
      <c r="Y662" s="2">
        <v>1</v>
      </c>
      <c r="Z662" s="2"/>
      <c r="AA662" s="2"/>
      <c r="AB662" s="2"/>
      <c r="AC662" s="2"/>
      <c r="AD662" s="2"/>
      <c r="AE662" s="2"/>
      <c r="AF662" s="2"/>
      <c r="AG662" s="2">
        <v>1</v>
      </c>
      <c r="AH662" s="2"/>
      <c r="AI662" s="2"/>
      <c r="AJ662" s="2"/>
      <c r="AK662" s="2"/>
      <c r="AL662" s="2"/>
      <c r="AM662" s="2"/>
      <c r="AN662" s="2"/>
      <c r="AO662" s="2"/>
      <c r="AP662" s="2"/>
      <c r="AQ662" s="2">
        <v>1</v>
      </c>
      <c r="AR662" s="2"/>
      <c r="AS662" s="2"/>
      <c r="AT662" s="2"/>
      <c r="AU662" s="2"/>
      <c r="AV662" s="2"/>
      <c r="AW662" s="2"/>
      <c r="AX662" s="1"/>
    </row>
    <row r="663" spans="1:50" x14ac:dyDescent="0.4">
      <c r="A663" s="1" t="str">
        <f t="shared" si="34"/>
        <v>宇城</v>
      </c>
      <c r="B663" s="1" t="str">
        <f>"特別養護老人ホーム　しらぬい荘診療所"</f>
        <v>特別養護老人ホーム　しらぬい荘診療所</v>
      </c>
      <c r="C663" s="1" t="str">
        <f>"869-0523"</f>
        <v>869-0523</v>
      </c>
      <c r="D663" s="1" t="s">
        <v>776</v>
      </c>
      <c r="E663" s="1" t="str">
        <f>"0964320709    "</f>
        <v xml:space="preserve">0964320709    </v>
      </c>
      <c r="F663" s="1" t="str">
        <f>"社会福祉法人　水光会"</f>
        <v>社会福祉法人　水光会</v>
      </c>
      <c r="G663" s="1" t="str">
        <f>"S41.08.20"</f>
        <v>S41.08.20</v>
      </c>
      <c r="H663" s="1" t="str">
        <f t="shared" si="32"/>
        <v>開設中</v>
      </c>
      <c r="I663" s="1">
        <v>0</v>
      </c>
      <c r="J663" s="1">
        <v>0</v>
      </c>
      <c r="K663" s="1">
        <v>0</v>
      </c>
      <c r="L663" s="2">
        <v>1</v>
      </c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1"/>
    </row>
    <row r="664" spans="1:50" x14ac:dyDescent="0.4">
      <c r="A664" s="1" t="str">
        <f t="shared" si="34"/>
        <v>宇城</v>
      </c>
      <c r="B664" s="1" t="str">
        <f>"本田医院"</f>
        <v>本田医院</v>
      </c>
      <c r="C664" s="1" t="str">
        <f>"869-0543"</f>
        <v>869-0543</v>
      </c>
      <c r="D664" s="1" t="s">
        <v>777</v>
      </c>
      <c r="E664" s="1" t="str">
        <f>"0964320555    "</f>
        <v xml:space="preserve">0964320555    </v>
      </c>
      <c r="F664" s="1" t="str">
        <f>"医療法人　社団本田会"</f>
        <v>医療法人　社団本田会</v>
      </c>
      <c r="G664" s="1" t="str">
        <f>"H05.05.01"</f>
        <v>H05.05.01</v>
      </c>
      <c r="H664" s="1" t="str">
        <f t="shared" si="32"/>
        <v>開設中</v>
      </c>
      <c r="I664" s="1">
        <v>11</v>
      </c>
      <c r="J664" s="1">
        <v>11</v>
      </c>
      <c r="K664" s="1">
        <v>0</v>
      </c>
      <c r="L664" s="2">
        <v>1</v>
      </c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>
        <v>1</v>
      </c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>
        <v>1</v>
      </c>
      <c r="AP664" s="2"/>
      <c r="AQ664" s="2"/>
      <c r="AR664" s="2"/>
      <c r="AS664" s="2"/>
      <c r="AT664" s="2"/>
      <c r="AU664" s="2"/>
      <c r="AV664" s="2"/>
      <c r="AW664" s="2"/>
      <c r="AX664" s="1"/>
    </row>
    <row r="665" spans="1:50" x14ac:dyDescent="0.4">
      <c r="A665" s="1" t="str">
        <f t="shared" si="34"/>
        <v>宇城</v>
      </c>
      <c r="B665" s="1" t="str">
        <f>"まつえクリニック"</f>
        <v>まつえクリニック</v>
      </c>
      <c r="C665" s="1" t="str">
        <f>"869-0532"</f>
        <v>869-0532</v>
      </c>
      <c r="D665" s="1" t="s">
        <v>778</v>
      </c>
      <c r="E665" s="1" t="str">
        <f>"0964323911    "</f>
        <v xml:space="preserve">0964323911    </v>
      </c>
      <c r="F665" s="1" t="str">
        <f>"医療法人　顕勝会"</f>
        <v>医療法人　顕勝会</v>
      </c>
      <c r="G665" s="1" t="str">
        <f>"H09.06.01"</f>
        <v>H09.06.01</v>
      </c>
      <c r="H665" s="1" t="str">
        <f t="shared" si="32"/>
        <v>開設中</v>
      </c>
      <c r="I665" s="1">
        <v>0</v>
      </c>
      <c r="J665" s="1">
        <v>0</v>
      </c>
      <c r="K665" s="1">
        <v>0</v>
      </c>
      <c r="L665" s="2">
        <v>1</v>
      </c>
      <c r="M665" s="2"/>
      <c r="N665" s="2"/>
      <c r="O665" s="2"/>
      <c r="P665" s="2"/>
      <c r="Q665" s="2">
        <v>1</v>
      </c>
      <c r="R665" s="2">
        <v>1</v>
      </c>
      <c r="S665" s="2">
        <v>1</v>
      </c>
      <c r="T665" s="2">
        <v>1</v>
      </c>
      <c r="U665" s="2"/>
      <c r="V665" s="2"/>
      <c r="W665" s="2"/>
      <c r="X665" s="2">
        <v>1</v>
      </c>
      <c r="Y665" s="2">
        <v>1</v>
      </c>
      <c r="Z665" s="2"/>
      <c r="AA665" s="2"/>
      <c r="AB665" s="2"/>
      <c r="AC665" s="2">
        <v>1</v>
      </c>
      <c r="AD665" s="2"/>
      <c r="AE665" s="2">
        <v>1</v>
      </c>
      <c r="AF665" s="2"/>
      <c r="AG665" s="2">
        <v>1</v>
      </c>
      <c r="AH665" s="2">
        <v>1</v>
      </c>
      <c r="AI665" s="2"/>
      <c r="AJ665" s="2">
        <v>1</v>
      </c>
      <c r="AK665" s="2"/>
      <c r="AL665" s="2"/>
      <c r="AM665" s="2"/>
      <c r="AN665" s="2"/>
      <c r="AO665" s="2"/>
      <c r="AP665" s="2">
        <v>1</v>
      </c>
      <c r="AQ665" s="2">
        <v>1</v>
      </c>
      <c r="AR665" s="2"/>
      <c r="AS665" s="2"/>
      <c r="AT665" s="2"/>
      <c r="AU665" s="2"/>
      <c r="AV665" s="2"/>
      <c r="AW665" s="2"/>
      <c r="AX665" s="1"/>
    </row>
    <row r="666" spans="1:50" x14ac:dyDescent="0.4">
      <c r="A666" s="1" t="str">
        <f t="shared" si="34"/>
        <v>宇城</v>
      </c>
      <c r="B666" s="1" t="str">
        <f>"まつばせ児嶋クリニック"</f>
        <v>まつばせ児嶋クリニック</v>
      </c>
      <c r="C666" s="1" t="str">
        <f>"869-0503"</f>
        <v>869-0503</v>
      </c>
      <c r="D666" s="1" t="s">
        <v>779</v>
      </c>
      <c r="E666" s="1" t="str">
        <f>"0964252522    "</f>
        <v xml:space="preserve">0964252522    </v>
      </c>
      <c r="F666" s="1" t="str">
        <f>"医療法人　児嶋会"</f>
        <v>医療法人　児嶋会</v>
      </c>
      <c r="G666" s="1" t="str">
        <f>"H13.09.17"</f>
        <v>H13.09.17</v>
      </c>
      <c r="H666" s="1" t="str">
        <f t="shared" si="32"/>
        <v>開設中</v>
      </c>
      <c r="I666" s="1">
        <v>0</v>
      </c>
      <c r="J666" s="1">
        <v>0</v>
      </c>
      <c r="K666" s="1">
        <v>0</v>
      </c>
      <c r="L666" s="2"/>
      <c r="M666" s="2"/>
      <c r="N666" s="2"/>
      <c r="O666" s="2"/>
      <c r="P666" s="2"/>
      <c r="Q666" s="2"/>
      <c r="R666" s="2"/>
      <c r="S666" s="2"/>
      <c r="T666" s="2"/>
      <c r="U666" s="2">
        <v>1</v>
      </c>
      <c r="V666" s="2"/>
      <c r="W666" s="2">
        <v>1</v>
      </c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1" t="s">
        <v>113</v>
      </c>
    </row>
    <row r="667" spans="1:50" x14ac:dyDescent="0.4">
      <c r="A667" s="1" t="str">
        <f t="shared" si="34"/>
        <v>宇城</v>
      </c>
      <c r="B667" s="1" t="str">
        <f>"まつばせレディースクリニック"</f>
        <v>まつばせレディースクリニック</v>
      </c>
      <c r="C667" s="1" t="str">
        <f>"869-0502"</f>
        <v>869-0502</v>
      </c>
      <c r="D667" s="1" t="s">
        <v>780</v>
      </c>
      <c r="E667" s="1" t="str">
        <f>"0964340303    "</f>
        <v xml:space="preserve">0964340303    </v>
      </c>
      <c r="F667" s="1" t="str">
        <f>"社会医療法人　愛育会"</f>
        <v>社会医療法人　愛育会</v>
      </c>
      <c r="G667" s="1" t="str">
        <f>"H11.03.01"</f>
        <v>H11.03.01</v>
      </c>
      <c r="H667" s="1" t="str">
        <f t="shared" si="32"/>
        <v>開設中</v>
      </c>
      <c r="I667" s="1">
        <v>19</v>
      </c>
      <c r="J667" s="1">
        <v>19</v>
      </c>
      <c r="K667" s="1">
        <v>0</v>
      </c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>
        <v>1</v>
      </c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>
        <v>1</v>
      </c>
      <c r="AL667" s="2">
        <v>1</v>
      </c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1"/>
    </row>
    <row r="668" spans="1:50" x14ac:dyDescent="0.4">
      <c r="A668" s="1" t="str">
        <f t="shared" si="34"/>
        <v>宇城</v>
      </c>
      <c r="B668" s="1" t="str">
        <f>"みずたみ医院"</f>
        <v>みずたみ医院</v>
      </c>
      <c r="C668" s="1" t="str">
        <f>"869-0523"</f>
        <v>869-0523</v>
      </c>
      <c r="D668" s="1" t="s">
        <v>781</v>
      </c>
      <c r="E668" s="1" t="str">
        <f>"0964323372    "</f>
        <v xml:space="preserve">0964323372    </v>
      </c>
      <c r="F668" s="1" t="str">
        <f>"水民　和行"</f>
        <v>水民　和行</v>
      </c>
      <c r="G668" s="1" t="str">
        <f>"H13.05.01"</f>
        <v>H13.05.01</v>
      </c>
      <c r="H668" s="1" t="str">
        <f t="shared" ref="H668:H731" si="35">"開設中"</f>
        <v>開設中</v>
      </c>
      <c r="I668" s="1">
        <v>0</v>
      </c>
      <c r="J668" s="1">
        <v>0</v>
      </c>
      <c r="K668" s="1">
        <v>0</v>
      </c>
      <c r="L668" s="2">
        <v>1</v>
      </c>
      <c r="M668" s="2"/>
      <c r="N668" s="2"/>
      <c r="O668" s="2"/>
      <c r="P668" s="2"/>
      <c r="Q668" s="2"/>
      <c r="R668" s="2"/>
      <c r="S668" s="2">
        <v>1</v>
      </c>
      <c r="T668" s="2"/>
      <c r="U668" s="2"/>
      <c r="V668" s="2"/>
      <c r="W668" s="2"/>
      <c r="X668" s="2">
        <v>1</v>
      </c>
      <c r="Y668" s="2"/>
      <c r="Z668" s="2"/>
      <c r="AA668" s="2"/>
      <c r="AB668" s="2"/>
      <c r="AC668" s="2"/>
      <c r="AD668" s="2"/>
      <c r="AE668" s="2"/>
      <c r="AF668" s="2"/>
      <c r="AG668" s="2">
        <v>1</v>
      </c>
      <c r="AH668" s="2"/>
      <c r="AI668" s="2"/>
      <c r="AJ668" s="2"/>
      <c r="AK668" s="2"/>
      <c r="AL668" s="2"/>
      <c r="AM668" s="2"/>
      <c r="AN668" s="2"/>
      <c r="AO668" s="2"/>
      <c r="AP668" s="2"/>
      <c r="AQ668" s="2">
        <v>1</v>
      </c>
      <c r="AR668" s="2"/>
      <c r="AS668" s="2"/>
      <c r="AT668" s="2"/>
      <c r="AU668" s="2"/>
      <c r="AV668" s="2"/>
      <c r="AW668" s="2"/>
      <c r="AX668" s="1"/>
    </row>
    <row r="669" spans="1:50" x14ac:dyDescent="0.4">
      <c r="A669" s="1" t="str">
        <f t="shared" si="34"/>
        <v>宇城</v>
      </c>
      <c r="B669" s="1" t="str">
        <f>"安武眼科医院"</f>
        <v>安武眼科医院</v>
      </c>
      <c r="C669" s="1" t="str">
        <f>"869-0502"</f>
        <v>869-0502</v>
      </c>
      <c r="D669" s="1" t="s">
        <v>782</v>
      </c>
      <c r="E669" s="1" t="str">
        <f>"0964320733    "</f>
        <v xml:space="preserve">0964320733    </v>
      </c>
      <c r="F669" s="1" t="str">
        <f>"医療法人　安武眼科医院"</f>
        <v>医療法人　安武眼科医院</v>
      </c>
      <c r="G669" s="1" t="str">
        <f>"H04.06.01"</f>
        <v>H04.06.01</v>
      </c>
      <c r="H669" s="1" t="str">
        <f t="shared" si="35"/>
        <v>開設中</v>
      </c>
      <c r="I669" s="1">
        <v>0</v>
      </c>
      <c r="J669" s="1">
        <v>0</v>
      </c>
      <c r="K669" s="1">
        <v>0</v>
      </c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>
        <v>1</v>
      </c>
      <c r="AO669" s="2"/>
      <c r="AP669" s="2"/>
      <c r="AQ669" s="2"/>
      <c r="AR669" s="2"/>
      <c r="AS669" s="2"/>
      <c r="AT669" s="2"/>
      <c r="AU669" s="2"/>
      <c r="AV669" s="2"/>
      <c r="AW669" s="2"/>
      <c r="AX669" s="1"/>
    </row>
    <row r="670" spans="1:50" x14ac:dyDescent="0.4">
      <c r="A670" s="1" t="str">
        <f t="shared" si="34"/>
        <v>宇城</v>
      </c>
      <c r="B670" s="1" t="str">
        <f>"江藤外科胃腸科医院"</f>
        <v>江藤外科胃腸科医院</v>
      </c>
      <c r="C670" s="1" t="str">
        <f>"869-0606"</f>
        <v>869-0606</v>
      </c>
      <c r="D670" s="1" t="s">
        <v>783</v>
      </c>
      <c r="E670" s="1" t="str">
        <f>"0964434433    "</f>
        <v xml:space="preserve">0964434433    </v>
      </c>
      <c r="F670" s="1" t="str">
        <f>"医療法人　社団江藤外科胃腸科医院"</f>
        <v>医療法人　社団江藤外科胃腸科医院</v>
      </c>
      <c r="G670" s="1" t="str">
        <f>"H06.03.01"</f>
        <v>H06.03.01</v>
      </c>
      <c r="H670" s="1" t="str">
        <f t="shared" si="35"/>
        <v>開設中</v>
      </c>
      <c r="I670" s="1">
        <v>0</v>
      </c>
      <c r="J670" s="1">
        <v>0</v>
      </c>
      <c r="K670" s="1">
        <v>0</v>
      </c>
      <c r="L670" s="2">
        <v>1</v>
      </c>
      <c r="M670" s="2"/>
      <c r="N670" s="2"/>
      <c r="O670" s="2"/>
      <c r="P670" s="2"/>
      <c r="Q670" s="2"/>
      <c r="R670" s="2"/>
      <c r="S670" s="2">
        <v>1</v>
      </c>
      <c r="T670" s="2"/>
      <c r="U670" s="2"/>
      <c r="V670" s="2"/>
      <c r="W670" s="2"/>
      <c r="X670" s="2">
        <v>1</v>
      </c>
      <c r="Y670" s="2">
        <v>1</v>
      </c>
      <c r="Z670" s="2"/>
      <c r="AA670" s="2"/>
      <c r="AB670" s="2"/>
      <c r="AC670" s="2"/>
      <c r="AD670" s="2"/>
      <c r="AE670" s="2"/>
      <c r="AF670" s="2"/>
      <c r="AG670" s="2">
        <v>1</v>
      </c>
      <c r="AH670" s="2"/>
      <c r="AI670" s="2"/>
      <c r="AJ670" s="2"/>
      <c r="AK670" s="2"/>
      <c r="AL670" s="2"/>
      <c r="AM670" s="2"/>
      <c r="AN670" s="2"/>
      <c r="AO670" s="2"/>
      <c r="AP670" s="2"/>
      <c r="AQ670" s="2">
        <v>1</v>
      </c>
      <c r="AR670" s="2"/>
      <c r="AS670" s="2"/>
      <c r="AT670" s="2"/>
      <c r="AU670" s="2"/>
      <c r="AV670" s="2"/>
      <c r="AW670" s="2">
        <v>1</v>
      </c>
      <c r="AX670" s="1"/>
    </row>
    <row r="671" spans="1:50" x14ac:dyDescent="0.4">
      <c r="A671" s="1" t="str">
        <f t="shared" si="34"/>
        <v>宇城</v>
      </c>
      <c r="B671" s="1" t="str">
        <f>"土屋医院"</f>
        <v>土屋医院</v>
      </c>
      <c r="C671" s="1" t="str">
        <f>"869-0624"</f>
        <v>869-0624</v>
      </c>
      <c r="D671" s="1" t="s">
        <v>784</v>
      </c>
      <c r="E671" s="1" t="str">
        <f>"0964430333    "</f>
        <v xml:space="preserve">0964430333    </v>
      </c>
      <c r="F671" s="1" t="str">
        <f>"医療法人　社団立世会"</f>
        <v>医療法人　社団立世会</v>
      </c>
      <c r="G671" s="1" t="str">
        <f>"H13.11.01"</f>
        <v>H13.11.01</v>
      </c>
      <c r="H671" s="1" t="str">
        <f t="shared" si="35"/>
        <v>開設中</v>
      </c>
      <c r="I671" s="1">
        <v>0</v>
      </c>
      <c r="J671" s="1">
        <v>0</v>
      </c>
      <c r="K671" s="1">
        <v>0</v>
      </c>
      <c r="L671" s="2">
        <v>1</v>
      </c>
      <c r="M671" s="2"/>
      <c r="N671" s="2"/>
      <c r="O671" s="2"/>
      <c r="P671" s="2"/>
      <c r="Q671" s="2"/>
      <c r="R671" s="2"/>
      <c r="S671" s="2"/>
      <c r="T671" s="2"/>
      <c r="U671" s="2"/>
      <c r="V671" s="2">
        <v>1</v>
      </c>
      <c r="W671" s="2"/>
      <c r="X671" s="2"/>
      <c r="Y671" s="2">
        <v>1</v>
      </c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1"/>
    </row>
    <row r="672" spans="1:50" x14ac:dyDescent="0.4">
      <c r="A672" s="1" t="str">
        <f t="shared" ref="A672:A708" si="36">"宇城"</f>
        <v>宇城</v>
      </c>
      <c r="B672" s="1" t="str">
        <f>"特別養護老人ホーム　　ひだけ荘"</f>
        <v>特別養護老人ホーム　　ひだけ荘</v>
      </c>
      <c r="C672" s="1" t="str">
        <f>"869-0612"</f>
        <v>869-0612</v>
      </c>
      <c r="D672" s="1" t="s">
        <v>785</v>
      </c>
      <c r="E672" s="1" t="str">
        <f>"0964346300    "</f>
        <v xml:space="preserve">0964346300    </v>
      </c>
      <c r="F672" s="1" t="str">
        <f>"社会福祉法人　日岳会"</f>
        <v>社会福祉法人　日岳会</v>
      </c>
      <c r="G672" s="1" t="str">
        <f>"H10.04.01"</f>
        <v>H10.04.01</v>
      </c>
      <c r="H672" s="1" t="str">
        <f t="shared" si="35"/>
        <v>開設中</v>
      </c>
      <c r="I672" s="1">
        <v>0</v>
      </c>
      <c r="J672" s="1">
        <v>0</v>
      </c>
      <c r="K672" s="1">
        <v>0</v>
      </c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>
        <v>1</v>
      </c>
      <c r="W672" s="2"/>
      <c r="X672" s="2"/>
      <c r="Y672" s="2">
        <v>1</v>
      </c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1"/>
    </row>
    <row r="673" spans="1:50" x14ac:dyDescent="0.4">
      <c r="A673" s="1" t="str">
        <f t="shared" si="36"/>
        <v>宇城</v>
      </c>
      <c r="B673" s="1" t="str">
        <f>"廣岡クリニック皮膚科"</f>
        <v>廣岡クリニック皮膚科</v>
      </c>
      <c r="C673" s="1" t="str">
        <f>"869-0631"</f>
        <v>869-0631</v>
      </c>
      <c r="D673" s="1" t="s">
        <v>786</v>
      </c>
      <c r="E673" s="1" t="str">
        <f>"0964436543    "</f>
        <v xml:space="preserve">0964436543    </v>
      </c>
      <c r="F673" s="1" t="str">
        <f>"廣岡　実"</f>
        <v>廣岡　実</v>
      </c>
      <c r="G673" s="1" t="str">
        <f>"H14.03.18"</f>
        <v>H14.03.18</v>
      </c>
      <c r="H673" s="1" t="str">
        <f t="shared" si="35"/>
        <v>開設中</v>
      </c>
      <c r="I673" s="1">
        <v>0</v>
      </c>
      <c r="J673" s="1">
        <v>0</v>
      </c>
      <c r="K673" s="1">
        <v>0</v>
      </c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>
        <v>1</v>
      </c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1"/>
    </row>
    <row r="674" spans="1:50" x14ac:dyDescent="0.4">
      <c r="A674" s="1" t="str">
        <f t="shared" si="36"/>
        <v>宇城</v>
      </c>
      <c r="B674" s="1" t="str">
        <f>"狩場医院"</f>
        <v>狩場医院</v>
      </c>
      <c r="C674" s="1" t="str">
        <f>"861-4301"</f>
        <v>861-4301</v>
      </c>
      <c r="D674" s="1" t="s">
        <v>787</v>
      </c>
      <c r="E674" s="1" t="str">
        <f>"0964452017    "</f>
        <v xml:space="preserve">0964452017    </v>
      </c>
      <c r="F674" s="1" t="str">
        <f>"医療法人社団　豊栄会"</f>
        <v>医療法人社団　豊栄会</v>
      </c>
      <c r="G674" s="1" t="str">
        <f>"H06.10.01"</f>
        <v>H06.10.01</v>
      </c>
      <c r="H674" s="1" t="str">
        <f t="shared" si="35"/>
        <v>開設中</v>
      </c>
      <c r="I674" s="1">
        <v>0</v>
      </c>
      <c r="J674" s="1">
        <v>0</v>
      </c>
      <c r="K674" s="1">
        <v>0</v>
      </c>
      <c r="L674" s="2">
        <v>1</v>
      </c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>
        <v>1</v>
      </c>
      <c r="X674" s="2">
        <v>1</v>
      </c>
      <c r="Y674" s="2"/>
      <c r="Z674" s="2"/>
      <c r="AA674" s="2"/>
      <c r="AB674" s="2"/>
      <c r="AC674" s="2"/>
      <c r="AD674" s="2"/>
      <c r="AE674" s="2"/>
      <c r="AF674" s="2"/>
      <c r="AG674" s="2"/>
      <c r="AH674" s="2">
        <v>1</v>
      </c>
      <c r="AI674" s="2"/>
      <c r="AJ674" s="2"/>
      <c r="AK674" s="2"/>
      <c r="AL674" s="2"/>
      <c r="AM674" s="2"/>
      <c r="AN674" s="2"/>
      <c r="AO674" s="2"/>
      <c r="AP674" s="2"/>
      <c r="AQ674" s="2">
        <v>1</v>
      </c>
      <c r="AR674" s="2"/>
      <c r="AS674" s="2"/>
      <c r="AT674" s="2"/>
      <c r="AU674" s="2"/>
      <c r="AV674" s="2"/>
      <c r="AW674" s="2"/>
      <c r="AX674" s="1"/>
    </row>
    <row r="675" spans="1:50" x14ac:dyDescent="0.4">
      <c r="A675" s="1" t="str">
        <f t="shared" si="36"/>
        <v>宇城</v>
      </c>
      <c r="B675" s="1" t="str">
        <f>"石井クリニック"</f>
        <v>石井クリニック</v>
      </c>
      <c r="C675" s="1" t="str">
        <f>"861-4405"</f>
        <v>861-4405</v>
      </c>
      <c r="D675" s="1" t="s">
        <v>788</v>
      </c>
      <c r="E675" s="1" t="str">
        <f>"0964463990    "</f>
        <v xml:space="preserve">0964463990    </v>
      </c>
      <c r="F675" s="1" t="str">
        <f>"石井　純"</f>
        <v>石井　純</v>
      </c>
      <c r="G675" s="1" t="str">
        <f>"H08.07.01"</f>
        <v>H08.07.01</v>
      </c>
      <c r="H675" s="1" t="str">
        <f t="shared" si="35"/>
        <v>開設中</v>
      </c>
      <c r="I675" s="1">
        <v>0</v>
      </c>
      <c r="J675" s="1">
        <v>0</v>
      </c>
      <c r="K675" s="1">
        <v>0</v>
      </c>
      <c r="L675" s="2">
        <v>1</v>
      </c>
      <c r="M675" s="2"/>
      <c r="N675" s="2"/>
      <c r="O675" s="2"/>
      <c r="P675" s="2"/>
      <c r="Q675" s="2"/>
      <c r="R675" s="2"/>
      <c r="S675" s="2">
        <v>1</v>
      </c>
      <c r="T675" s="2"/>
      <c r="U675" s="2"/>
      <c r="V675" s="2"/>
      <c r="W675" s="2"/>
      <c r="X675" s="2">
        <v>1</v>
      </c>
      <c r="Y675" s="2"/>
      <c r="Z675" s="2"/>
      <c r="AA675" s="2"/>
      <c r="AB675" s="2"/>
      <c r="AC675" s="2"/>
      <c r="AD675" s="2"/>
      <c r="AE675" s="2">
        <v>1</v>
      </c>
      <c r="AF675" s="2"/>
      <c r="AG675" s="2">
        <v>1</v>
      </c>
      <c r="AH675" s="2">
        <v>1</v>
      </c>
      <c r="AI675" s="2"/>
      <c r="AJ675" s="2"/>
      <c r="AK675" s="2"/>
      <c r="AL675" s="2"/>
      <c r="AM675" s="2"/>
      <c r="AN675" s="2"/>
      <c r="AO675" s="2"/>
      <c r="AP675" s="2"/>
      <c r="AQ675" s="2">
        <v>1</v>
      </c>
      <c r="AR675" s="2">
        <v>1</v>
      </c>
      <c r="AS675" s="2"/>
      <c r="AT675" s="2"/>
      <c r="AU675" s="2"/>
      <c r="AV675" s="2"/>
      <c r="AW675" s="2">
        <v>1</v>
      </c>
      <c r="AX675" s="1"/>
    </row>
    <row r="676" spans="1:50" x14ac:dyDescent="0.4">
      <c r="A676" s="1" t="str">
        <f t="shared" si="36"/>
        <v>宇城</v>
      </c>
      <c r="B676" s="1" t="str">
        <f>"特別養護老人ホーム　こもれび医務室"</f>
        <v>特別養護老人ホーム　こもれび医務室</v>
      </c>
      <c r="C676" s="1" t="str">
        <f>"861-4412"</f>
        <v>861-4412</v>
      </c>
      <c r="D676" s="1" t="s">
        <v>789</v>
      </c>
      <c r="E676" s="1" t="str">
        <f>"0964476277    "</f>
        <v xml:space="preserve">0964476277    </v>
      </c>
      <c r="F676" s="1" t="str">
        <f>"社会福祉法人　伸生紀"</f>
        <v>社会福祉法人　伸生紀</v>
      </c>
      <c r="G676" s="1" t="str">
        <f>"H14.03.19"</f>
        <v>H14.03.19</v>
      </c>
      <c r="H676" s="1" t="str">
        <f t="shared" si="35"/>
        <v>開設中</v>
      </c>
      <c r="I676" s="1">
        <v>0</v>
      </c>
      <c r="J676" s="1">
        <v>0</v>
      </c>
      <c r="K676" s="1">
        <v>0</v>
      </c>
      <c r="L676" s="2">
        <v>1</v>
      </c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1"/>
    </row>
    <row r="677" spans="1:50" x14ac:dyDescent="0.4">
      <c r="A677" s="1" t="str">
        <f t="shared" si="36"/>
        <v>宇城</v>
      </c>
      <c r="B677" s="1" t="str">
        <f>"特別養護老人ホーム　陽光園診療所"</f>
        <v>特別養護老人ホーム　陽光園診療所</v>
      </c>
      <c r="C677" s="1" t="str">
        <f>"861-4733"</f>
        <v>861-4733</v>
      </c>
      <c r="D677" s="1" t="s">
        <v>790</v>
      </c>
      <c r="E677" s="1" t="str">
        <f>"0964472600    "</f>
        <v xml:space="preserve">0964472600    </v>
      </c>
      <c r="F677" s="1" t="str">
        <f>"社会福祉法人　千寿会"</f>
        <v>社会福祉法人　千寿会</v>
      </c>
      <c r="G677" s="1" t="str">
        <f>"H06.04.01"</f>
        <v>H06.04.01</v>
      </c>
      <c r="H677" s="1" t="str">
        <f t="shared" si="35"/>
        <v>開設中</v>
      </c>
      <c r="I677" s="1">
        <v>0</v>
      </c>
      <c r="J677" s="1">
        <v>0</v>
      </c>
      <c r="K677" s="1">
        <v>0</v>
      </c>
      <c r="L677" s="2">
        <v>1</v>
      </c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1"/>
    </row>
    <row r="678" spans="1:50" x14ac:dyDescent="0.4">
      <c r="A678" s="1" t="str">
        <f t="shared" si="36"/>
        <v>宇城</v>
      </c>
      <c r="B678" s="1" t="str">
        <f>"勝目眼科医院"</f>
        <v>勝目眼科医院</v>
      </c>
      <c r="C678" s="1" t="str">
        <f>"869-3207"</f>
        <v>869-3207</v>
      </c>
      <c r="D678" s="1" t="s">
        <v>791</v>
      </c>
      <c r="E678" s="1" t="str">
        <f>"0964523688    "</f>
        <v xml:space="preserve">0964523688    </v>
      </c>
      <c r="F678" s="1" t="str">
        <f>"医療法人　邦仁会"</f>
        <v>医療法人　邦仁会</v>
      </c>
      <c r="G678" s="1" t="str">
        <f>"H17.05.01"</f>
        <v>H17.05.01</v>
      </c>
      <c r="H678" s="1" t="str">
        <f t="shared" si="35"/>
        <v>開設中</v>
      </c>
      <c r="I678" s="1">
        <v>5</v>
      </c>
      <c r="J678" s="1">
        <v>5</v>
      </c>
      <c r="K678" s="1">
        <v>0</v>
      </c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>
        <v>1</v>
      </c>
      <c r="AO678" s="2"/>
      <c r="AP678" s="2"/>
      <c r="AQ678" s="2"/>
      <c r="AR678" s="2"/>
      <c r="AS678" s="2"/>
      <c r="AT678" s="2"/>
      <c r="AU678" s="2"/>
      <c r="AV678" s="2"/>
      <c r="AW678" s="2"/>
      <c r="AX678" s="1"/>
    </row>
    <row r="679" spans="1:50" x14ac:dyDescent="0.4">
      <c r="A679" s="1" t="str">
        <f t="shared" si="36"/>
        <v>宇城</v>
      </c>
      <c r="B679" s="1" t="str">
        <f>"吉野整形外科"</f>
        <v>吉野整形外科</v>
      </c>
      <c r="C679" s="1" t="str">
        <f>"869-0452"</f>
        <v>869-0452</v>
      </c>
      <c r="D679" s="1" t="s">
        <v>792</v>
      </c>
      <c r="E679" s="1" t="str">
        <f>"0964226000    "</f>
        <v xml:space="preserve">0964226000    </v>
      </c>
      <c r="F679" s="1" t="str">
        <f>"医療法人社団　吉野会"</f>
        <v>医療法人社団　吉野会</v>
      </c>
      <c r="G679" s="1" t="str">
        <f>"H18.06.01"</f>
        <v>H18.06.01</v>
      </c>
      <c r="H679" s="1" t="str">
        <f t="shared" si="35"/>
        <v>開設中</v>
      </c>
      <c r="I679" s="1">
        <v>0</v>
      </c>
      <c r="J679" s="1">
        <v>0</v>
      </c>
      <c r="K679" s="1">
        <v>0</v>
      </c>
      <c r="L679" s="2">
        <v>1</v>
      </c>
      <c r="M679" s="2">
        <v>1</v>
      </c>
      <c r="N679" s="2"/>
      <c r="O679" s="2"/>
      <c r="P679" s="2"/>
      <c r="Q679" s="2"/>
      <c r="R679" s="2"/>
      <c r="S679" s="2"/>
      <c r="T679" s="2"/>
      <c r="U679" s="2"/>
      <c r="V679" s="2">
        <v>1</v>
      </c>
      <c r="W679" s="2"/>
      <c r="X679" s="2"/>
      <c r="Y679" s="2">
        <v>1</v>
      </c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>
        <v>1</v>
      </c>
      <c r="AR679" s="2"/>
      <c r="AS679" s="2"/>
      <c r="AT679" s="2"/>
      <c r="AU679" s="2"/>
      <c r="AV679" s="2"/>
      <c r="AW679" s="2"/>
      <c r="AX679" s="1"/>
    </row>
    <row r="680" spans="1:50" x14ac:dyDescent="0.4">
      <c r="A680" s="1" t="str">
        <f t="shared" si="36"/>
        <v>宇城</v>
      </c>
      <c r="B680" s="1" t="str">
        <f>"たのうえ胃腸科クリニック"</f>
        <v>たのうえ胃腸科クリニック</v>
      </c>
      <c r="C680" s="1" t="str">
        <f>"861-4406"</f>
        <v>861-4406</v>
      </c>
      <c r="D680" s="1" t="s">
        <v>793</v>
      </c>
      <c r="E680" s="1" t="str">
        <f>"0964476032    "</f>
        <v xml:space="preserve">0964476032    </v>
      </c>
      <c r="F680" s="1" t="str">
        <f>"医療法人　田上会"</f>
        <v>医療法人　田上会</v>
      </c>
      <c r="G680" s="1" t="str">
        <f>"H19.09.01"</f>
        <v>H19.09.01</v>
      </c>
      <c r="H680" s="1" t="str">
        <f t="shared" si="35"/>
        <v>開設中</v>
      </c>
      <c r="I680" s="1">
        <v>0</v>
      </c>
      <c r="J680" s="1">
        <v>0</v>
      </c>
      <c r="K680" s="1">
        <v>0</v>
      </c>
      <c r="L680" s="2">
        <v>1</v>
      </c>
      <c r="M680" s="2"/>
      <c r="N680" s="2"/>
      <c r="O680" s="2"/>
      <c r="P680" s="2"/>
      <c r="Q680" s="2"/>
      <c r="R680" s="2"/>
      <c r="S680" s="2">
        <v>1</v>
      </c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>
        <v>1</v>
      </c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1"/>
    </row>
    <row r="681" spans="1:50" x14ac:dyDescent="0.4">
      <c r="A681" s="1" t="str">
        <f t="shared" si="36"/>
        <v>宇城</v>
      </c>
      <c r="B681" s="1" t="str">
        <f>"特別養護老人ホーム　水晶苑　診察室"</f>
        <v>特別養護老人ホーム　水晶苑　診察室</v>
      </c>
      <c r="C681" s="1" t="str">
        <f>"861-4301"</f>
        <v>861-4301</v>
      </c>
      <c r="D681" s="1" t="s">
        <v>794</v>
      </c>
      <c r="E681" s="1" t="str">
        <f>"0964453755    "</f>
        <v xml:space="preserve">0964453755    </v>
      </c>
      <c r="F681" s="1" t="str">
        <f>"社会福祉法人　豊生会"</f>
        <v>社会福祉法人　豊生会</v>
      </c>
      <c r="G681" s="1" t="str">
        <f>"H17.04.06"</f>
        <v>H17.04.06</v>
      </c>
      <c r="H681" s="1" t="str">
        <f t="shared" si="35"/>
        <v>開設中</v>
      </c>
      <c r="I681" s="1">
        <v>0</v>
      </c>
      <c r="J681" s="1">
        <v>0</v>
      </c>
      <c r="K681" s="1">
        <v>0</v>
      </c>
      <c r="L681" s="2">
        <v>1</v>
      </c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>
        <v>1</v>
      </c>
      <c r="X681" s="2">
        <v>1</v>
      </c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>
        <v>1</v>
      </c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1"/>
    </row>
    <row r="682" spans="1:50" x14ac:dyDescent="0.4">
      <c r="A682" s="1" t="str">
        <f t="shared" si="36"/>
        <v>宇城</v>
      </c>
      <c r="B682" s="1" t="str">
        <f>"くどう日日医院"</f>
        <v>くどう日日医院</v>
      </c>
      <c r="C682" s="1" t="str">
        <f>"869-0502"</f>
        <v>869-0502</v>
      </c>
      <c r="D682" s="1" t="s">
        <v>795</v>
      </c>
      <c r="E682" s="1" t="str">
        <f>"0964320010    "</f>
        <v xml:space="preserve">0964320010    </v>
      </c>
      <c r="F682" s="1" t="str">
        <f>"工藤秀雄"</f>
        <v>工藤秀雄</v>
      </c>
      <c r="G682" s="1" t="str">
        <f>"H20.01.01"</f>
        <v>H20.01.01</v>
      </c>
      <c r="H682" s="1" t="str">
        <f t="shared" si="35"/>
        <v>開設中</v>
      </c>
      <c r="I682" s="1">
        <v>0</v>
      </c>
      <c r="J682" s="1">
        <v>0</v>
      </c>
      <c r="K682" s="1">
        <v>0</v>
      </c>
      <c r="L682" s="2">
        <v>1</v>
      </c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1"/>
    </row>
    <row r="683" spans="1:50" x14ac:dyDescent="0.4">
      <c r="A683" s="1" t="str">
        <f t="shared" si="36"/>
        <v>宇城</v>
      </c>
      <c r="B683" s="1" t="str">
        <f>"幡手耳鼻咽喉科クリニック"</f>
        <v>幡手耳鼻咽喉科クリニック</v>
      </c>
      <c r="C683" s="1" t="str">
        <f>"869-0421"</f>
        <v>869-0421</v>
      </c>
      <c r="D683" s="1" t="s">
        <v>796</v>
      </c>
      <c r="E683" s="1" t="str">
        <f>"0964241187    "</f>
        <v xml:space="preserve">0964241187    </v>
      </c>
      <c r="F683" s="1" t="str">
        <f>"幡手厳諭"</f>
        <v>幡手厳諭</v>
      </c>
      <c r="G683" s="1" t="str">
        <f>"H20.04.02"</f>
        <v>H20.04.02</v>
      </c>
      <c r="H683" s="1" t="str">
        <f t="shared" si="35"/>
        <v>開設中</v>
      </c>
      <c r="I683" s="1">
        <v>0</v>
      </c>
      <c r="J683" s="1">
        <v>0</v>
      </c>
      <c r="K683" s="1">
        <v>0</v>
      </c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>
        <v>1</v>
      </c>
      <c r="AP683" s="2"/>
      <c r="AQ683" s="2"/>
      <c r="AR683" s="2"/>
      <c r="AS683" s="2"/>
      <c r="AT683" s="2"/>
      <c r="AU683" s="2"/>
      <c r="AV683" s="2"/>
      <c r="AW683" s="2"/>
      <c r="AX683" s="1"/>
    </row>
    <row r="684" spans="1:50" x14ac:dyDescent="0.4">
      <c r="A684" s="1" t="str">
        <f t="shared" si="36"/>
        <v>宇城</v>
      </c>
      <c r="B684" s="1" t="str">
        <f>"うちの小児科小児外科"</f>
        <v>うちの小児科小児外科</v>
      </c>
      <c r="C684" s="1" t="str">
        <f>"869-0502"</f>
        <v>869-0502</v>
      </c>
      <c r="D684" s="1" t="s">
        <v>797</v>
      </c>
      <c r="E684" s="1" t="str">
        <f>"0964320550    "</f>
        <v xml:space="preserve">0964320550    </v>
      </c>
      <c r="F684" s="1" t="str">
        <f>"医療法人　真愛会"</f>
        <v>医療法人　真愛会</v>
      </c>
      <c r="G684" s="1" t="str">
        <f>"H20.07.01"</f>
        <v>H20.07.01</v>
      </c>
      <c r="H684" s="1" t="str">
        <f t="shared" si="35"/>
        <v>開設中</v>
      </c>
      <c r="I684" s="1">
        <v>0</v>
      </c>
      <c r="J684" s="1">
        <v>0</v>
      </c>
      <c r="K684" s="1">
        <v>0</v>
      </c>
      <c r="L684" s="2">
        <v>1</v>
      </c>
      <c r="M684" s="2"/>
      <c r="N684" s="2"/>
      <c r="O684" s="2"/>
      <c r="P684" s="2"/>
      <c r="Q684" s="2"/>
      <c r="R684" s="2"/>
      <c r="S684" s="2"/>
      <c r="T684" s="2"/>
      <c r="U684" s="2">
        <v>1</v>
      </c>
      <c r="V684" s="2"/>
      <c r="W684" s="2">
        <v>1</v>
      </c>
      <c r="X684" s="2"/>
      <c r="Y684" s="2"/>
      <c r="Z684" s="2"/>
      <c r="AA684" s="2"/>
      <c r="AB684" s="2"/>
      <c r="AC684" s="2"/>
      <c r="AD684" s="2"/>
      <c r="AE684" s="2">
        <v>1</v>
      </c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1"/>
    </row>
    <row r="685" spans="1:50" s="7" customFormat="1" x14ac:dyDescent="0.4">
      <c r="A685" s="5" t="str">
        <f t="shared" si="36"/>
        <v>宇城</v>
      </c>
      <c r="B685" s="5" t="str">
        <f>"松橋耳鼻咽喉科・内科クリニック"</f>
        <v>松橋耳鼻咽喉科・内科クリニック</v>
      </c>
      <c r="C685" s="5" t="str">
        <f>"869-0503"</f>
        <v>869-0503</v>
      </c>
      <c r="D685" s="5" t="s">
        <v>798</v>
      </c>
      <c r="E685" s="5" t="str">
        <f>"0964334133    "</f>
        <v xml:space="preserve">0964334133    </v>
      </c>
      <c r="F685" s="5" t="str">
        <f>"医療法人社団　松吉会"</f>
        <v>医療法人社団　松吉会</v>
      </c>
      <c r="G685" s="5" t="str">
        <f>"H21.05.01"</f>
        <v>H21.05.01</v>
      </c>
      <c r="H685" s="5" t="str">
        <f t="shared" si="35"/>
        <v>開設中</v>
      </c>
      <c r="I685" s="5">
        <v>0</v>
      </c>
      <c r="J685" s="5">
        <v>0</v>
      </c>
      <c r="K685" s="5">
        <v>0</v>
      </c>
      <c r="L685" s="6">
        <v>1</v>
      </c>
      <c r="M685" s="6"/>
      <c r="N685" s="6"/>
      <c r="O685" s="6"/>
      <c r="P685" s="6"/>
      <c r="Q685" s="6"/>
      <c r="R685" s="6"/>
      <c r="S685" s="6"/>
      <c r="T685" s="6"/>
      <c r="U685" s="6">
        <v>1</v>
      </c>
      <c r="V685" s="6"/>
      <c r="W685" s="6">
        <v>1</v>
      </c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>
        <v>1</v>
      </c>
      <c r="AP685" s="6"/>
      <c r="AQ685" s="6"/>
      <c r="AR685" s="6">
        <v>1</v>
      </c>
      <c r="AS685" s="6"/>
      <c r="AT685" s="6"/>
      <c r="AU685" s="6"/>
      <c r="AV685" s="6"/>
      <c r="AW685" s="6"/>
      <c r="AX685" s="5" t="s">
        <v>57</v>
      </c>
    </row>
    <row r="686" spans="1:50" x14ac:dyDescent="0.4">
      <c r="A686" s="1" t="str">
        <f t="shared" si="36"/>
        <v>宇城</v>
      </c>
      <c r="B686" s="1" t="str">
        <f>"たかはしクリニック"</f>
        <v>たかはしクリニック</v>
      </c>
      <c r="C686" s="1" t="str">
        <f>"869-0623"</f>
        <v>869-0623</v>
      </c>
      <c r="D686" s="1" t="s">
        <v>799</v>
      </c>
      <c r="E686" s="1" t="str">
        <f>"0964430008    "</f>
        <v xml:space="preserve">0964430008    </v>
      </c>
      <c r="F686" s="1" t="str">
        <f>"髙橋　利弘"</f>
        <v>髙橋　利弘</v>
      </c>
      <c r="G686" s="1" t="str">
        <f>"H21.04.13"</f>
        <v>H21.04.13</v>
      </c>
      <c r="H686" s="1" t="str">
        <f t="shared" si="35"/>
        <v>開設中</v>
      </c>
      <c r="I686" s="1">
        <v>0</v>
      </c>
      <c r="J686" s="1">
        <v>0</v>
      </c>
      <c r="K686" s="1">
        <v>0</v>
      </c>
      <c r="L686" s="2">
        <v>1</v>
      </c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1" t="s">
        <v>53</v>
      </c>
    </row>
    <row r="687" spans="1:50" x14ac:dyDescent="0.4">
      <c r="A687" s="1" t="str">
        <f t="shared" si="36"/>
        <v>宇城</v>
      </c>
      <c r="B687" s="1" t="str">
        <f>"小川中央クリニック"</f>
        <v>小川中央クリニック</v>
      </c>
      <c r="C687" s="1" t="str">
        <f>"869-0624"</f>
        <v>869-0624</v>
      </c>
      <c r="D687" s="1" t="s">
        <v>800</v>
      </c>
      <c r="E687" s="1" t="str">
        <f>"0964435363    "</f>
        <v xml:space="preserve">0964435363    </v>
      </c>
      <c r="F687" s="1" t="str">
        <f>"鍬田　和久"</f>
        <v>鍬田　和久</v>
      </c>
      <c r="G687" s="1" t="str">
        <f>"H21.08.10"</f>
        <v>H21.08.10</v>
      </c>
      <c r="H687" s="1" t="str">
        <f t="shared" si="35"/>
        <v>開設中</v>
      </c>
      <c r="I687" s="1">
        <v>0</v>
      </c>
      <c r="J687" s="1">
        <v>0</v>
      </c>
      <c r="K687" s="1">
        <v>0</v>
      </c>
      <c r="L687" s="2">
        <v>1</v>
      </c>
      <c r="M687" s="2"/>
      <c r="N687" s="2"/>
      <c r="O687" s="2"/>
      <c r="P687" s="2"/>
      <c r="Q687" s="2"/>
      <c r="R687" s="2"/>
      <c r="S687" s="2"/>
      <c r="T687" s="2"/>
      <c r="U687" s="2">
        <v>1</v>
      </c>
      <c r="V687" s="2">
        <v>1</v>
      </c>
      <c r="W687" s="2"/>
      <c r="X687" s="2">
        <v>1</v>
      </c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>
        <v>1</v>
      </c>
      <c r="AR687" s="2"/>
      <c r="AS687" s="2"/>
      <c r="AT687" s="2"/>
      <c r="AU687" s="2"/>
      <c r="AV687" s="2"/>
      <c r="AW687" s="2"/>
      <c r="AX687" s="1" t="s">
        <v>114</v>
      </c>
    </row>
    <row r="688" spans="1:50" x14ac:dyDescent="0.4">
      <c r="A688" s="1" t="str">
        <f t="shared" si="36"/>
        <v>宇城</v>
      </c>
      <c r="B688" s="1" t="str">
        <f>"坂口医院"</f>
        <v>坂口医院</v>
      </c>
      <c r="C688" s="1" t="str">
        <f>"869-0502"</f>
        <v>869-0502</v>
      </c>
      <c r="D688" s="1" t="s">
        <v>801</v>
      </c>
      <c r="E688" s="1" t="str">
        <f>"0964320445    "</f>
        <v xml:space="preserve">0964320445    </v>
      </c>
      <c r="F688" s="1" t="str">
        <f>"坂口　二朗"</f>
        <v>坂口　二朗</v>
      </c>
      <c r="G688" s="1" t="str">
        <f>"H22.02.12"</f>
        <v>H22.02.12</v>
      </c>
      <c r="H688" s="1" t="str">
        <f t="shared" si="35"/>
        <v>開設中</v>
      </c>
      <c r="I688" s="1">
        <v>0</v>
      </c>
      <c r="J688" s="1">
        <v>0</v>
      </c>
      <c r="K688" s="1">
        <v>0</v>
      </c>
      <c r="L688" s="2">
        <v>1</v>
      </c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>
        <v>1</v>
      </c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1"/>
    </row>
    <row r="689" spans="1:50" x14ac:dyDescent="0.4">
      <c r="A689" s="1" t="str">
        <f t="shared" si="36"/>
        <v>宇城</v>
      </c>
      <c r="B689" s="1" t="str">
        <f>"みどりかわクリニック"</f>
        <v>みどりかわクリニック</v>
      </c>
      <c r="C689" s="1" t="str">
        <f>"869-0463"</f>
        <v>869-0463</v>
      </c>
      <c r="D689" s="1" t="s">
        <v>802</v>
      </c>
      <c r="E689" s="1" t="str">
        <f>"0964221171    "</f>
        <v xml:space="preserve">0964221171    </v>
      </c>
      <c r="F689" s="1" t="str">
        <f>"医療法人社団　小田会"</f>
        <v>医療法人社団　小田会</v>
      </c>
      <c r="G689" s="1" t="str">
        <f>"H23.06.01"</f>
        <v>H23.06.01</v>
      </c>
      <c r="H689" s="1" t="str">
        <f t="shared" si="35"/>
        <v>開設中</v>
      </c>
      <c r="I689" s="1">
        <v>19</v>
      </c>
      <c r="J689" s="1">
        <v>19</v>
      </c>
      <c r="K689" s="1">
        <v>0</v>
      </c>
      <c r="L689" s="2">
        <v>1</v>
      </c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>
        <v>1</v>
      </c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1"/>
    </row>
    <row r="690" spans="1:50" x14ac:dyDescent="0.4">
      <c r="A690" s="1" t="str">
        <f t="shared" si="36"/>
        <v>宇城</v>
      </c>
      <c r="B690" s="1" t="str">
        <f>"じょうどいクリニック"</f>
        <v>じょうどいクリニック</v>
      </c>
      <c r="C690" s="1" t="str">
        <f>"869-0543"</f>
        <v>869-0543</v>
      </c>
      <c r="D690" s="1" t="s">
        <v>803</v>
      </c>
      <c r="E690" s="1" t="str">
        <f>"0964539517    "</f>
        <v xml:space="preserve">0964539517    </v>
      </c>
      <c r="F690" s="1" t="str">
        <f>"上土井　晋"</f>
        <v>上土井　晋</v>
      </c>
      <c r="G690" s="1" t="str">
        <f>"H22.11.18"</f>
        <v>H22.11.18</v>
      </c>
      <c r="H690" s="1" t="str">
        <f t="shared" si="35"/>
        <v>開設中</v>
      </c>
      <c r="I690" s="1">
        <v>0</v>
      </c>
      <c r="J690" s="1">
        <v>0</v>
      </c>
      <c r="K690" s="1">
        <v>0</v>
      </c>
      <c r="L690" s="2">
        <v>1</v>
      </c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>
        <v>1</v>
      </c>
      <c r="X690" s="2">
        <v>1</v>
      </c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1" t="s">
        <v>46</v>
      </c>
    </row>
    <row r="691" spans="1:50" x14ac:dyDescent="0.4">
      <c r="A691" s="1" t="str">
        <f t="shared" si="36"/>
        <v>宇城</v>
      </c>
      <c r="B691" s="1" t="str">
        <f>"高浜眼科医院"</f>
        <v>高浜眼科医院</v>
      </c>
      <c r="C691" s="1" t="str">
        <f>"869-0422"</f>
        <v>869-0422</v>
      </c>
      <c r="D691" s="1" t="s">
        <v>804</v>
      </c>
      <c r="E691" s="1" t="str">
        <f>"0964220108    "</f>
        <v xml:space="preserve">0964220108    </v>
      </c>
      <c r="F691" s="1" t="str">
        <f>"髙濱　由利子"</f>
        <v>髙濱　由利子</v>
      </c>
      <c r="G691" s="1" t="str">
        <f>"H23.04.01"</f>
        <v>H23.04.01</v>
      </c>
      <c r="H691" s="1" t="str">
        <f t="shared" si="35"/>
        <v>開設中</v>
      </c>
      <c r="I691" s="1">
        <v>0</v>
      </c>
      <c r="J691" s="1">
        <v>0</v>
      </c>
      <c r="K691" s="1">
        <v>0</v>
      </c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>
        <v>1</v>
      </c>
      <c r="AO691" s="2"/>
      <c r="AP691" s="2"/>
      <c r="AQ691" s="2"/>
      <c r="AR691" s="2"/>
      <c r="AS691" s="2"/>
      <c r="AT691" s="2"/>
      <c r="AU691" s="2"/>
      <c r="AV691" s="2"/>
      <c r="AW691" s="2"/>
      <c r="AX691" s="1"/>
    </row>
    <row r="692" spans="1:50" x14ac:dyDescent="0.4">
      <c r="A692" s="1" t="str">
        <f t="shared" si="36"/>
        <v>宇城</v>
      </c>
      <c r="B692" s="1" t="str">
        <f>"ダイヤモンドシティクリニック"</f>
        <v>ダイヤモンドシティクリニック</v>
      </c>
      <c r="C692" s="1" t="str">
        <f>"869-0606"</f>
        <v>869-0606</v>
      </c>
      <c r="D692" s="1" t="s">
        <v>805</v>
      </c>
      <c r="E692" s="1" t="str">
        <f>"0964346071    "</f>
        <v xml:space="preserve">0964346071    </v>
      </c>
      <c r="F692" s="1" t="str">
        <f>"医療法人社団仁友会"</f>
        <v>医療法人社団仁友会</v>
      </c>
      <c r="G692" s="1" t="str">
        <f>"H23.06.01"</f>
        <v>H23.06.01</v>
      </c>
      <c r="H692" s="1" t="str">
        <f t="shared" si="35"/>
        <v>開設中</v>
      </c>
      <c r="I692" s="1">
        <v>0</v>
      </c>
      <c r="J692" s="1">
        <v>0</v>
      </c>
      <c r="K692" s="1">
        <v>0</v>
      </c>
      <c r="L692" s="2">
        <v>1</v>
      </c>
      <c r="M692" s="2"/>
      <c r="N692" s="2"/>
      <c r="O692" s="2"/>
      <c r="P692" s="2"/>
      <c r="Q692" s="2"/>
      <c r="R692" s="2"/>
      <c r="S692" s="2"/>
      <c r="T692" s="2"/>
      <c r="U692" s="2">
        <v>1</v>
      </c>
      <c r="V692" s="2"/>
      <c r="W692" s="2">
        <v>1</v>
      </c>
      <c r="X692" s="2"/>
      <c r="Y692" s="2"/>
      <c r="Z692" s="2">
        <v>1</v>
      </c>
      <c r="AA692" s="2"/>
      <c r="AB692" s="2"/>
      <c r="AC692" s="2"/>
      <c r="AD692" s="2"/>
      <c r="AE692" s="2"/>
      <c r="AF692" s="2"/>
      <c r="AG692" s="2"/>
      <c r="AH692" s="2"/>
      <c r="AI692" s="2">
        <v>1</v>
      </c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1"/>
    </row>
    <row r="693" spans="1:50" x14ac:dyDescent="0.4">
      <c r="A693" s="1" t="str">
        <f t="shared" si="36"/>
        <v>宇城</v>
      </c>
      <c r="B693" s="1" t="str">
        <f>"しまだこどもクリニック"</f>
        <v>しまだこどもクリニック</v>
      </c>
      <c r="C693" s="1" t="str">
        <f>"869-0503"</f>
        <v>869-0503</v>
      </c>
      <c r="D693" s="1" t="s">
        <v>806</v>
      </c>
      <c r="E693" s="1" t="str">
        <f>"0964343933    "</f>
        <v xml:space="preserve">0964343933    </v>
      </c>
      <c r="F693" s="1" t="str">
        <f>"医療法人社団　松橋しまだ会"</f>
        <v>医療法人社団　松橋しまだ会</v>
      </c>
      <c r="G693" s="1" t="str">
        <f>"H24.06.18"</f>
        <v>H24.06.18</v>
      </c>
      <c r="H693" s="1" t="str">
        <f t="shared" si="35"/>
        <v>開設中</v>
      </c>
      <c r="I693" s="1">
        <v>0</v>
      </c>
      <c r="J693" s="1">
        <v>0</v>
      </c>
      <c r="K693" s="1">
        <v>0</v>
      </c>
      <c r="L693" s="2">
        <v>1</v>
      </c>
      <c r="M693" s="2"/>
      <c r="N693" s="2"/>
      <c r="O693" s="2"/>
      <c r="P693" s="2"/>
      <c r="Q693" s="2"/>
      <c r="R693" s="2"/>
      <c r="S693" s="2"/>
      <c r="T693" s="2"/>
      <c r="U693" s="2">
        <v>1</v>
      </c>
      <c r="V693" s="2"/>
      <c r="W693" s="2">
        <v>1</v>
      </c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1"/>
    </row>
    <row r="694" spans="1:50" x14ac:dyDescent="0.4">
      <c r="A694" s="1" t="str">
        <f t="shared" si="36"/>
        <v>宇城</v>
      </c>
      <c r="B694" s="1" t="str">
        <f>"特別養護老人ホーム西城園医務室"</f>
        <v>特別養護老人ホーム西城園医務室</v>
      </c>
      <c r="C694" s="1" t="str">
        <f>"869-3173"</f>
        <v>869-3173</v>
      </c>
      <c r="D694" s="1" t="s">
        <v>807</v>
      </c>
      <c r="E694" s="1" t="str">
        <f>"0964270555    "</f>
        <v xml:space="preserve">0964270555    </v>
      </c>
      <c r="F694" s="1" t="str">
        <f>"社会福祉法人　順風会"</f>
        <v>社会福祉法人　順風会</v>
      </c>
      <c r="G694" s="1" t="str">
        <f>"H25.10.01"</f>
        <v>H25.10.01</v>
      </c>
      <c r="H694" s="1" t="str">
        <f t="shared" si="35"/>
        <v>開設中</v>
      </c>
      <c r="I694" s="1">
        <v>0</v>
      </c>
      <c r="J694" s="1">
        <v>0</v>
      </c>
      <c r="K694" s="1">
        <v>0</v>
      </c>
      <c r="L694" s="2">
        <v>1</v>
      </c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>
        <v>1</v>
      </c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1"/>
    </row>
    <row r="695" spans="1:50" s="7" customFormat="1" x14ac:dyDescent="0.4">
      <c r="A695" s="5" t="str">
        <f t="shared" si="36"/>
        <v>宇城</v>
      </c>
      <c r="B695" s="5" t="str">
        <f>"宇土市養護老人ホーム芝光苑医務室"</f>
        <v>宇土市養護老人ホーム芝光苑医務室</v>
      </c>
      <c r="C695" s="5" t="str">
        <f>"869-0421"</f>
        <v>869-0421</v>
      </c>
      <c r="D695" s="5" t="s">
        <v>808</v>
      </c>
      <c r="E695" s="5" t="str">
        <f>"0964222111    "</f>
        <v xml:space="preserve">0964222111    </v>
      </c>
      <c r="F695" s="5" t="s">
        <v>923</v>
      </c>
      <c r="G695" s="5" t="str">
        <f>"H26.01.10"</f>
        <v>H26.01.10</v>
      </c>
      <c r="H695" s="5" t="str">
        <f t="shared" si="35"/>
        <v>開設中</v>
      </c>
      <c r="I695" s="5">
        <v>0</v>
      </c>
      <c r="J695" s="5">
        <v>0</v>
      </c>
      <c r="K695" s="5">
        <v>0</v>
      </c>
      <c r="L695" s="6">
        <v>1</v>
      </c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>
        <v>1</v>
      </c>
      <c r="X695" s="6">
        <v>1</v>
      </c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5"/>
    </row>
    <row r="696" spans="1:50" s="7" customFormat="1" x14ac:dyDescent="0.4">
      <c r="A696" s="5" t="str">
        <f t="shared" si="36"/>
        <v>宇城</v>
      </c>
      <c r="B696" s="5" t="str">
        <f>"養護老人ホーム松寿園医務室"</f>
        <v>養護老人ホーム松寿園医務室</v>
      </c>
      <c r="C696" s="5" t="str">
        <f>"869-3471"</f>
        <v>869-3471</v>
      </c>
      <c r="D696" s="5" t="s">
        <v>809</v>
      </c>
      <c r="E696" s="5" t="str">
        <f>"0964422016    "</f>
        <v xml:space="preserve">0964422016    </v>
      </c>
      <c r="F696" s="5" t="str">
        <f>"社会福祉法人　黎明福祉会"</f>
        <v>社会福祉法人　黎明福祉会</v>
      </c>
      <c r="G696" s="5" t="str">
        <f>"H26.04.01"</f>
        <v>H26.04.01</v>
      </c>
      <c r="H696" s="5" t="str">
        <f t="shared" si="35"/>
        <v>開設中</v>
      </c>
      <c r="I696" s="5">
        <v>0</v>
      </c>
      <c r="J696" s="5">
        <v>0</v>
      </c>
      <c r="K696" s="5">
        <v>0</v>
      </c>
      <c r="L696" s="6">
        <v>1</v>
      </c>
      <c r="M696" s="6"/>
      <c r="N696" s="6"/>
      <c r="O696" s="6"/>
      <c r="P696" s="6"/>
      <c r="Q696" s="6"/>
      <c r="R696" s="6">
        <v>1</v>
      </c>
      <c r="S696" s="6"/>
      <c r="T696" s="6"/>
      <c r="U696" s="6"/>
      <c r="V696" s="6"/>
      <c r="W696" s="6"/>
      <c r="X696" s="6">
        <v>1</v>
      </c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5"/>
    </row>
    <row r="697" spans="1:50" x14ac:dyDescent="0.4">
      <c r="A697" s="1" t="str">
        <f t="shared" si="36"/>
        <v>宇城</v>
      </c>
      <c r="B697" s="1" t="str">
        <f>"上野小児科医院"</f>
        <v>上野小児科医院</v>
      </c>
      <c r="C697" s="1" t="str">
        <f>"869-0442"</f>
        <v>869-0442</v>
      </c>
      <c r="D697" s="1" t="s">
        <v>810</v>
      </c>
      <c r="E697" s="1" t="str">
        <f>"0964220324    "</f>
        <v xml:space="preserve">0964220324    </v>
      </c>
      <c r="F697" s="1" t="str">
        <f>"上野　晃"</f>
        <v>上野　晃</v>
      </c>
      <c r="G697" s="1" t="str">
        <f>"H27.01.01"</f>
        <v>H27.01.01</v>
      </c>
      <c r="H697" s="1" t="str">
        <f t="shared" si="35"/>
        <v>開設中</v>
      </c>
      <c r="I697" s="1">
        <v>0</v>
      </c>
      <c r="J697" s="1">
        <v>0</v>
      </c>
      <c r="K697" s="1">
        <v>0</v>
      </c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>
        <v>1</v>
      </c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1"/>
    </row>
    <row r="698" spans="1:50" x14ac:dyDescent="0.4">
      <c r="A698" s="1" t="str">
        <f t="shared" si="36"/>
        <v>宇城</v>
      </c>
      <c r="B698" s="1" t="str">
        <f>"特別養護老人ホームきらら医務室"</f>
        <v>特別養護老人ホームきらら医務室</v>
      </c>
      <c r="C698" s="1" t="str">
        <f>"869-0503"</f>
        <v>869-0503</v>
      </c>
      <c r="D698" s="1" t="s">
        <v>811</v>
      </c>
      <c r="E698" s="1" t="str">
        <f>"0964541311    "</f>
        <v xml:space="preserve">0964541311    </v>
      </c>
      <c r="F698" s="1" t="str">
        <f>"社会福祉法人　熊本厚生会"</f>
        <v>社会福祉法人　熊本厚生会</v>
      </c>
      <c r="G698" s="1" t="str">
        <f>"H27.05.11"</f>
        <v>H27.05.11</v>
      </c>
      <c r="H698" s="1" t="str">
        <f t="shared" si="35"/>
        <v>開設中</v>
      </c>
      <c r="I698" s="1">
        <v>0</v>
      </c>
      <c r="J698" s="1">
        <v>0</v>
      </c>
      <c r="K698" s="1">
        <v>0</v>
      </c>
      <c r="L698" s="2">
        <v>1</v>
      </c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1"/>
    </row>
    <row r="699" spans="1:50" s="7" customFormat="1" x14ac:dyDescent="0.4">
      <c r="A699" s="5" t="str">
        <f t="shared" si="36"/>
        <v>宇城</v>
      </c>
      <c r="B699" s="5" t="str">
        <f>"中村医院"</f>
        <v>中村医院</v>
      </c>
      <c r="C699" s="5" t="str">
        <f>"869-0545"</f>
        <v>869-0545</v>
      </c>
      <c r="D699" s="5" t="s">
        <v>812</v>
      </c>
      <c r="E699" s="5" t="str">
        <f>"0964320722    "</f>
        <v xml:space="preserve">0964320722    </v>
      </c>
      <c r="F699" s="5" t="str">
        <f>"医療法人　中村会"</f>
        <v>医療法人　中村会</v>
      </c>
      <c r="G699" s="5" t="str">
        <f>"H27.09.28"</f>
        <v>H27.09.28</v>
      </c>
      <c r="H699" s="5" t="str">
        <f t="shared" si="35"/>
        <v>開設中</v>
      </c>
      <c r="I699" s="5">
        <v>0</v>
      </c>
      <c r="J699" s="5">
        <v>0</v>
      </c>
      <c r="K699" s="5">
        <v>0</v>
      </c>
      <c r="L699" s="6">
        <v>1</v>
      </c>
      <c r="M699" s="6"/>
      <c r="N699" s="6"/>
      <c r="O699" s="6"/>
      <c r="P699" s="6"/>
      <c r="Q699" s="6"/>
      <c r="R699" s="6"/>
      <c r="S699" s="6"/>
      <c r="T699" s="6">
        <v>1</v>
      </c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5"/>
    </row>
    <row r="700" spans="1:50" s="7" customFormat="1" x14ac:dyDescent="0.4">
      <c r="A700" s="5" t="str">
        <f t="shared" si="36"/>
        <v>宇城</v>
      </c>
      <c r="B700" s="5" t="str">
        <f>"うきクリニック"</f>
        <v>うきクリニック</v>
      </c>
      <c r="C700" s="5" t="str">
        <f>"869-0503"</f>
        <v>869-0503</v>
      </c>
      <c r="D700" s="5" t="s">
        <v>813</v>
      </c>
      <c r="E700" s="5" t="str">
        <f>"0964326322    "</f>
        <v xml:space="preserve">0964326322    </v>
      </c>
      <c r="F700" s="5" t="str">
        <f>"医療法人　厚生会"</f>
        <v>医療法人　厚生会</v>
      </c>
      <c r="G700" s="5" t="str">
        <f>"H29.06.01"</f>
        <v>H29.06.01</v>
      </c>
      <c r="H700" s="5" t="str">
        <f t="shared" si="35"/>
        <v>開設中</v>
      </c>
      <c r="I700" s="5">
        <v>8</v>
      </c>
      <c r="J700" s="5">
        <v>8</v>
      </c>
      <c r="K700" s="5">
        <v>0</v>
      </c>
      <c r="L700" s="6">
        <v>1</v>
      </c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>
        <v>1</v>
      </c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5" t="s">
        <v>115</v>
      </c>
    </row>
    <row r="701" spans="1:50" x14ac:dyDescent="0.4">
      <c r="A701" s="1" t="str">
        <f t="shared" si="36"/>
        <v>宇城</v>
      </c>
      <c r="B701" s="1" t="str">
        <f>"県南髙木クリニック"</f>
        <v>県南髙木クリニック</v>
      </c>
      <c r="C701" s="1" t="str">
        <f>"869-0502"</f>
        <v>869-0502</v>
      </c>
      <c r="D701" s="1" t="s">
        <v>814</v>
      </c>
      <c r="E701" s="1" t="str">
        <f>"0964340177    "</f>
        <v xml:space="preserve">0964340177    </v>
      </c>
      <c r="F701" s="1" t="str">
        <f>"医療法人　one happiness"</f>
        <v>医療法人　one happiness</v>
      </c>
      <c r="G701" s="1" t="str">
        <f>"H30.06.01"</f>
        <v>H30.06.01</v>
      </c>
      <c r="H701" s="1" t="str">
        <f t="shared" si="35"/>
        <v>開設中</v>
      </c>
      <c r="I701" s="1">
        <v>19</v>
      </c>
      <c r="J701" s="1">
        <v>19</v>
      </c>
      <c r="K701" s="1">
        <v>0</v>
      </c>
      <c r="L701" s="2"/>
      <c r="M701" s="2"/>
      <c r="N701" s="2"/>
      <c r="O701" s="2"/>
      <c r="P701" s="2"/>
      <c r="Q701" s="2"/>
      <c r="R701" s="2">
        <v>1</v>
      </c>
      <c r="S701" s="2">
        <v>1</v>
      </c>
      <c r="T701" s="2"/>
      <c r="U701" s="2"/>
      <c r="V701" s="2"/>
      <c r="W701" s="2"/>
      <c r="X701" s="2">
        <v>1</v>
      </c>
      <c r="Y701" s="2"/>
      <c r="Z701" s="2"/>
      <c r="AA701" s="2"/>
      <c r="AB701" s="2"/>
      <c r="AC701" s="2"/>
      <c r="AD701" s="2"/>
      <c r="AE701" s="2"/>
      <c r="AF701" s="2"/>
      <c r="AG701" s="2">
        <v>1</v>
      </c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1"/>
    </row>
    <row r="702" spans="1:50" x14ac:dyDescent="0.4">
      <c r="A702" s="1" t="str">
        <f t="shared" si="36"/>
        <v>宇城</v>
      </c>
      <c r="B702" s="1" t="str">
        <f>"美里リハビリテーションクリニック"</f>
        <v>美里リハビリテーションクリニック</v>
      </c>
      <c r="C702" s="1" t="str">
        <f>"861-4711"</f>
        <v>861-4711</v>
      </c>
      <c r="D702" s="1" t="s">
        <v>815</v>
      </c>
      <c r="E702" s="1" t="str">
        <f>"0964480211    "</f>
        <v xml:space="preserve">0964480211    </v>
      </c>
      <c r="F702" s="1" t="str">
        <f>"社会医療法人　黎明会"</f>
        <v>社会医療法人　黎明会</v>
      </c>
      <c r="G702" s="1" t="str">
        <f>"H31.04.01"</f>
        <v>H31.04.01</v>
      </c>
      <c r="H702" s="1" t="str">
        <f t="shared" si="35"/>
        <v>開設中</v>
      </c>
      <c r="I702" s="1">
        <v>0</v>
      </c>
      <c r="J702" s="1">
        <v>0</v>
      </c>
      <c r="K702" s="1">
        <v>0</v>
      </c>
      <c r="L702" s="2">
        <v>1</v>
      </c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>
        <v>1</v>
      </c>
      <c r="Y702" s="2">
        <v>1</v>
      </c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>
        <v>1</v>
      </c>
      <c r="AR702" s="2"/>
      <c r="AS702" s="2">
        <v>1</v>
      </c>
      <c r="AT702" s="2"/>
      <c r="AU702" s="2"/>
      <c r="AV702" s="2"/>
      <c r="AW702" s="2"/>
      <c r="AX702" s="1" t="s">
        <v>116</v>
      </c>
    </row>
    <row r="703" spans="1:50" x14ac:dyDescent="0.4">
      <c r="A703" s="1" t="str">
        <f t="shared" si="36"/>
        <v>宇城</v>
      </c>
      <c r="B703" s="1" t="str">
        <f>"本多医院"</f>
        <v>本多医院</v>
      </c>
      <c r="C703" s="1" t="str">
        <f>"869-0445"</f>
        <v>869-0445</v>
      </c>
      <c r="D703" s="1" t="s">
        <v>816</v>
      </c>
      <c r="E703" s="1" t="str">
        <f>"0964223692    "</f>
        <v xml:space="preserve">0964223692    </v>
      </c>
      <c r="F703" s="1" t="str">
        <f>"医療法人まるほん"</f>
        <v>医療法人まるほん</v>
      </c>
      <c r="G703" s="1" t="str">
        <f>"R01.05.01"</f>
        <v>R01.05.01</v>
      </c>
      <c r="H703" s="1" t="str">
        <f t="shared" si="35"/>
        <v>開設中</v>
      </c>
      <c r="I703" s="1">
        <v>0</v>
      </c>
      <c r="J703" s="1">
        <v>0</v>
      </c>
      <c r="K703" s="1">
        <v>0</v>
      </c>
      <c r="L703" s="2">
        <v>1</v>
      </c>
      <c r="M703" s="2"/>
      <c r="N703" s="2"/>
      <c r="O703" s="2"/>
      <c r="P703" s="2"/>
      <c r="Q703" s="2">
        <v>1</v>
      </c>
      <c r="R703" s="2"/>
      <c r="S703" s="2"/>
      <c r="T703" s="2"/>
      <c r="U703" s="2"/>
      <c r="V703" s="2">
        <v>1</v>
      </c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>
        <v>1</v>
      </c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1"/>
    </row>
    <row r="704" spans="1:50" x14ac:dyDescent="0.4">
      <c r="A704" s="1" t="str">
        <f t="shared" si="36"/>
        <v>宇城</v>
      </c>
      <c r="B704" s="1" t="str">
        <f>"篠﨑内科クリニック"</f>
        <v>篠﨑内科クリニック</v>
      </c>
      <c r="C704" s="1" t="str">
        <f>"869-0511"</f>
        <v>869-0511</v>
      </c>
      <c r="D704" s="1" t="s">
        <v>817</v>
      </c>
      <c r="E704" s="1" t="str">
        <f>"0964343077    "</f>
        <v xml:space="preserve">0964343077    </v>
      </c>
      <c r="F704" s="1" t="str">
        <f>"篠﨑　慶介"</f>
        <v>篠﨑　慶介</v>
      </c>
      <c r="G704" s="1" t="str">
        <f>"R02.08.18"</f>
        <v>R02.08.18</v>
      </c>
      <c r="H704" s="1" t="str">
        <f t="shared" si="35"/>
        <v>開設中</v>
      </c>
      <c r="I704" s="1">
        <v>0</v>
      </c>
      <c r="J704" s="1">
        <v>0</v>
      </c>
      <c r="K704" s="1">
        <v>0</v>
      </c>
      <c r="L704" s="2">
        <v>1</v>
      </c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1" t="s">
        <v>117</v>
      </c>
    </row>
    <row r="705" spans="1:50" x14ac:dyDescent="0.4">
      <c r="A705" s="1" t="str">
        <f t="shared" si="36"/>
        <v>宇城</v>
      </c>
      <c r="B705" s="1" t="str">
        <f>"宇城総合クリニック"</f>
        <v>宇城総合クリニック</v>
      </c>
      <c r="C705" s="1" t="str">
        <f>"869-0524"</f>
        <v>869-0524</v>
      </c>
      <c r="D705" s="1" t="s">
        <v>818</v>
      </c>
      <c r="E705" s="1" t="str">
        <f>"0964320335    "</f>
        <v xml:space="preserve">0964320335    </v>
      </c>
      <c r="F705" s="1" t="str">
        <f>"社会医療法人　黎明会"</f>
        <v>社会医療法人　黎明会</v>
      </c>
      <c r="G705" s="1" t="str">
        <f>"R05.04.01"</f>
        <v>R05.04.01</v>
      </c>
      <c r="H705" s="1" t="str">
        <f t="shared" si="35"/>
        <v>開設中</v>
      </c>
      <c r="I705" s="1">
        <v>0</v>
      </c>
      <c r="J705" s="1">
        <v>0</v>
      </c>
      <c r="K705" s="1">
        <v>0</v>
      </c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>
        <v>1</v>
      </c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>
        <v>1</v>
      </c>
      <c r="AR705" s="2">
        <v>1</v>
      </c>
      <c r="AS705" s="2"/>
      <c r="AT705" s="2"/>
      <c r="AU705" s="2"/>
      <c r="AV705" s="2"/>
      <c r="AW705" s="2"/>
      <c r="AX705" s="1" t="s">
        <v>118</v>
      </c>
    </row>
    <row r="706" spans="1:50" x14ac:dyDescent="0.4">
      <c r="A706" s="1" t="str">
        <f t="shared" si="36"/>
        <v>宇城</v>
      </c>
      <c r="B706" s="1" t="str">
        <f>"かなもり地域ケアクリニック"</f>
        <v>かなもり地域ケアクリニック</v>
      </c>
      <c r="C706" s="1" t="str">
        <f>"869-0408"</f>
        <v>869-0408</v>
      </c>
      <c r="D706" s="1" t="s">
        <v>819</v>
      </c>
      <c r="E706" s="1" t="str">
        <f>"0964220017    "</f>
        <v xml:space="preserve">0964220017    </v>
      </c>
      <c r="F706" s="1" t="str">
        <f>"医療法人社団　金森会"</f>
        <v>医療法人社団　金森会</v>
      </c>
      <c r="G706" s="1" t="str">
        <f>"R06.06.01"</f>
        <v>R06.06.01</v>
      </c>
      <c r="H706" s="1" t="str">
        <f t="shared" si="35"/>
        <v>開設中</v>
      </c>
      <c r="I706" s="1">
        <v>19</v>
      </c>
      <c r="J706" s="1">
        <v>19</v>
      </c>
      <c r="K706" s="1">
        <v>0</v>
      </c>
      <c r="L706" s="2">
        <v>1</v>
      </c>
      <c r="M706" s="2"/>
      <c r="N706" s="2"/>
      <c r="O706" s="2"/>
      <c r="P706" s="2"/>
      <c r="Q706" s="2"/>
      <c r="R706" s="2">
        <v>1</v>
      </c>
      <c r="S706" s="2"/>
      <c r="T706" s="2">
        <v>1</v>
      </c>
      <c r="U706" s="2"/>
      <c r="V706" s="2"/>
      <c r="W706" s="2"/>
      <c r="X706" s="2">
        <v>1</v>
      </c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>
        <v>1</v>
      </c>
      <c r="AR706" s="2"/>
      <c r="AS706" s="2"/>
      <c r="AT706" s="2"/>
      <c r="AU706" s="2"/>
      <c r="AV706" s="2"/>
      <c r="AW706" s="2"/>
      <c r="AX706" s="1"/>
    </row>
    <row r="707" spans="1:50" x14ac:dyDescent="0.4">
      <c r="A707" s="1" t="str">
        <f t="shared" si="36"/>
        <v>宇城</v>
      </c>
      <c r="B707" s="1" t="str">
        <f>"きらら眼科クリニック"</f>
        <v>きらら眼科クリニック</v>
      </c>
      <c r="C707" s="1" t="str">
        <f>"869-0503"</f>
        <v>869-0503</v>
      </c>
      <c r="D707" s="1" t="s">
        <v>820</v>
      </c>
      <c r="E707" s="1" t="str">
        <f>"0964321113    "</f>
        <v xml:space="preserve">0964321113    </v>
      </c>
      <c r="F707" s="1" t="str">
        <f>"照屋　健一"</f>
        <v>照屋　健一</v>
      </c>
      <c r="G707" s="1" t="str">
        <f>"R06.05.13"</f>
        <v>R06.05.13</v>
      </c>
      <c r="H707" s="1" t="str">
        <f t="shared" si="35"/>
        <v>開設中</v>
      </c>
      <c r="I707" s="1">
        <v>0</v>
      </c>
      <c r="J707" s="1">
        <v>0</v>
      </c>
      <c r="K707" s="1">
        <v>0</v>
      </c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>
        <v>1</v>
      </c>
      <c r="AO707" s="2"/>
      <c r="AP707" s="2"/>
      <c r="AQ707" s="2"/>
      <c r="AR707" s="2"/>
      <c r="AS707" s="2"/>
      <c r="AT707" s="2"/>
      <c r="AU707" s="2"/>
      <c r="AV707" s="2"/>
      <c r="AW707" s="2"/>
      <c r="AX707" s="1"/>
    </row>
    <row r="708" spans="1:50" x14ac:dyDescent="0.4">
      <c r="A708" s="1" t="str">
        <f t="shared" si="36"/>
        <v>宇城</v>
      </c>
      <c r="B708" s="1" t="str">
        <f>"前田整形外科"</f>
        <v>前田整形外科</v>
      </c>
      <c r="C708" s="1" t="str">
        <f>"869-0502"</f>
        <v>869-0502</v>
      </c>
      <c r="D708" s="1" t="s">
        <v>821</v>
      </c>
      <c r="E708" s="1" t="str">
        <f>"0964252250    "</f>
        <v xml:space="preserve">0964252250    </v>
      </c>
      <c r="F708" s="1" t="str">
        <f>"医療法人　前田整形外科"</f>
        <v>医療法人　前田整形外科</v>
      </c>
      <c r="G708" s="1" t="str">
        <f>"R07.04.01"</f>
        <v>R07.04.01</v>
      </c>
      <c r="H708" s="1" t="str">
        <f t="shared" si="35"/>
        <v>開設中</v>
      </c>
      <c r="I708" s="1">
        <v>0</v>
      </c>
      <c r="J708" s="1">
        <v>0</v>
      </c>
      <c r="K708" s="1">
        <v>0</v>
      </c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>
        <v>1</v>
      </c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>
        <v>1</v>
      </c>
      <c r="AR708" s="2"/>
      <c r="AS708" s="2"/>
      <c r="AT708" s="2"/>
      <c r="AU708" s="2"/>
      <c r="AV708" s="2"/>
      <c r="AW708" s="2"/>
      <c r="AX708" s="1"/>
    </row>
    <row r="709" spans="1:50" x14ac:dyDescent="0.4">
      <c r="A709" s="1" t="str">
        <f t="shared" ref="A709:A740" si="37">"天草"</f>
        <v>天草</v>
      </c>
      <c r="B709" s="1" t="str">
        <f>"天草ふれあいクリニック"</f>
        <v>天草ふれあいクリニック</v>
      </c>
      <c r="C709" s="1" t="str">
        <f>"863-0002"</f>
        <v>863-0002</v>
      </c>
      <c r="D709" s="1" t="s">
        <v>822</v>
      </c>
      <c r="E709" s="1" t="str">
        <f>"0969241400    "</f>
        <v xml:space="preserve">0969241400    </v>
      </c>
      <c r="F709" s="1" t="str">
        <f>"社会医療法人　芳和会"</f>
        <v>社会医療法人　芳和会</v>
      </c>
      <c r="G709" s="1" t="str">
        <f>"H14.03.15"</f>
        <v>H14.03.15</v>
      </c>
      <c r="H709" s="1" t="str">
        <f t="shared" si="35"/>
        <v>開設中</v>
      </c>
      <c r="I709" s="1">
        <v>0</v>
      </c>
      <c r="J709" s="1">
        <v>0</v>
      </c>
      <c r="K709" s="1">
        <v>0</v>
      </c>
      <c r="L709" s="2">
        <v>1</v>
      </c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1"/>
    </row>
    <row r="710" spans="1:50" x14ac:dyDescent="0.4">
      <c r="A710" s="1" t="str">
        <f t="shared" si="37"/>
        <v>天草</v>
      </c>
      <c r="B710" s="1" t="str">
        <f>"稲村医院"</f>
        <v>稲村医院</v>
      </c>
      <c r="C710" s="1" t="str">
        <f>"863-0003"</f>
        <v>863-0003</v>
      </c>
      <c r="D710" s="1" t="s">
        <v>823</v>
      </c>
      <c r="E710" s="1" t="str">
        <f>"0969238168    "</f>
        <v xml:space="preserve">0969238168    </v>
      </c>
      <c r="F710" s="1" t="str">
        <f>"稲村　芳美"</f>
        <v>稲村　芳美</v>
      </c>
      <c r="G710" s="1" t="str">
        <f>"H07.10.01"</f>
        <v>H07.10.01</v>
      </c>
      <c r="H710" s="1" t="str">
        <f t="shared" si="35"/>
        <v>開設中</v>
      </c>
      <c r="I710" s="1">
        <v>0</v>
      </c>
      <c r="J710" s="1">
        <v>0</v>
      </c>
      <c r="K710" s="1">
        <v>0</v>
      </c>
      <c r="L710" s="2">
        <v>1</v>
      </c>
      <c r="M710" s="2"/>
      <c r="N710" s="2">
        <v>1</v>
      </c>
      <c r="O710" s="2"/>
      <c r="P710" s="2">
        <v>1</v>
      </c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1"/>
    </row>
    <row r="711" spans="1:50" x14ac:dyDescent="0.4">
      <c r="A711" s="1" t="str">
        <f t="shared" si="37"/>
        <v>天草</v>
      </c>
      <c r="B711" s="1" t="str">
        <f>"うらた眼科"</f>
        <v>うらた眼科</v>
      </c>
      <c r="C711" s="1" t="str">
        <f>"863-0043"</f>
        <v>863-0043</v>
      </c>
      <c r="D711" s="1" t="s">
        <v>824</v>
      </c>
      <c r="E711" s="1" t="str">
        <f>"0969221431    "</f>
        <v xml:space="preserve">0969221431    </v>
      </c>
      <c r="F711" s="1" t="str">
        <f>"医療法人社団　浦田会"</f>
        <v>医療法人社団　浦田会</v>
      </c>
      <c r="G711" s="1" t="str">
        <f>"H11.11.01"</f>
        <v>H11.11.01</v>
      </c>
      <c r="H711" s="1" t="str">
        <f t="shared" si="35"/>
        <v>開設中</v>
      </c>
      <c r="I711" s="1">
        <v>0</v>
      </c>
      <c r="J711" s="1">
        <v>0</v>
      </c>
      <c r="K711" s="1">
        <v>0</v>
      </c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>
        <v>1</v>
      </c>
      <c r="AO711" s="2"/>
      <c r="AP711" s="2"/>
      <c r="AQ711" s="2"/>
      <c r="AR711" s="2"/>
      <c r="AS711" s="2"/>
      <c r="AT711" s="2"/>
      <c r="AU711" s="2"/>
      <c r="AV711" s="2"/>
      <c r="AW711" s="2"/>
      <c r="AX711" s="1"/>
    </row>
    <row r="712" spans="1:50" x14ac:dyDescent="0.4">
      <c r="A712" s="1" t="str">
        <f t="shared" si="37"/>
        <v>天草</v>
      </c>
      <c r="B712" s="1" t="str">
        <f>"大塚泌尿器科クリニック"</f>
        <v>大塚泌尿器科クリニック</v>
      </c>
      <c r="C712" s="1" t="str">
        <f>"863-0014"</f>
        <v>863-0014</v>
      </c>
      <c r="D712" s="1" t="s">
        <v>825</v>
      </c>
      <c r="E712" s="1" t="str">
        <f>"0969222325    "</f>
        <v xml:space="preserve">0969222325    </v>
      </c>
      <c r="F712" s="1" t="str">
        <f>"医療法人社団　大塚会"</f>
        <v>医療法人社団　大塚会</v>
      </c>
      <c r="G712" s="1" t="str">
        <f>"H16.09.14"</f>
        <v>H16.09.14</v>
      </c>
      <c r="H712" s="1" t="str">
        <f t="shared" si="35"/>
        <v>開設中</v>
      </c>
      <c r="I712" s="1">
        <v>17</v>
      </c>
      <c r="J712" s="1">
        <v>17</v>
      </c>
      <c r="K712" s="1">
        <v>0</v>
      </c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>
        <v>1</v>
      </c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>
        <v>1</v>
      </c>
      <c r="AX712" s="1"/>
    </row>
    <row r="713" spans="1:50" x14ac:dyDescent="0.4">
      <c r="A713" s="1" t="str">
        <f t="shared" si="37"/>
        <v>天草</v>
      </c>
      <c r="B713" s="1" t="str">
        <f>"おおどうクリニック"</f>
        <v>おおどうクリニック</v>
      </c>
      <c r="C713" s="1" t="str">
        <f>"863-0043"</f>
        <v>863-0043</v>
      </c>
      <c r="D713" s="1" t="s">
        <v>826</v>
      </c>
      <c r="E713" s="1" t="str">
        <f>"0969225156    "</f>
        <v xml:space="preserve">0969225156    </v>
      </c>
      <c r="F713" s="1" t="str">
        <f>"医療法人社団　文心会"</f>
        <v>医療法人社団　文心会</v>
      </c>
      <c r="G713" s="1" t="str">
        <f>"H10.06.01"</f>
        <v>H10.06.01</v>
      </c>
      <c r="H713" s="1" t="str">
        <f t="shared" si="35"/>
        <v>開設中</v>
      </c>
      <c r="I713" s="1">
        <v>0</v>
      </c>
      <c r="J713" s="1">
        <v>0</v>
      </c>
      <c r="K713" s="1">
        <v>0</v>
      </c>
      <c r="L713" s="2">
        <v>1</v>
      </c>
      <c r="M713" s="2"/>
      <c r="N713" s="2"/>
      <c r="O713" s="2"/>
      <c r="P713" s="2"/>
      <c r="Q713" s="2"/>
      <c r="R713" s="2"/>
      <c r="S713" s="2"/>
      <c r="T713" s="2">
        <v>1</v>
      </c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1"/>
    </row>
    <row r="714" spans="1:50" x14ac:dyDescent="0.4">
      <c r="A714" s="1" t="str">
        <f t="shared" si="37"/>
        <v>天草</v>
      </c>
      <c r="B714" s="1" t="str">
        <f>"おくむら皮ふ科"</f>
        <v>おくむら皮ふ科</v>
      </c>
      <c r="C714" s="1" t="str">
        <f>"863-0031"</f>
        <v>863-0031</v>
      </c>
      <c r="D714" s="1" t="s">
        <v>827</v>
      </c>
      <c r="E714" s="1" t="str">
        <f>"0969221488    "</f>
        <v xml:space="preserve">0969221488    </v>
      </c>
      <c r="F714" s="1" t="str">
        <f>"奥村　之啓"</f>
        <v>奥村　之啓</v>
      </c>
      <c r="G714" s="1" t="str">
        <f>"H16.05.31"</f>
        <v>H16.05.31</v>
      </c>
      <c r="H714" s="1" t="str">
        <f t="shared" si="35"/>
        <v>開設中</v>
      </c>
      <c r="I714" s="1">
        <v>0</v>
      </c>
      <c r="J714" s="1">
        <v>0</v>
      </c>
      <c r="K714" s="1">
        <v>0</v>
      </c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>
        <v>1</v>
      </c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1"/>
    </row>
    <row r="715" spans="1:50" x14ac:dyDescent="0.4">
      <c r="A715" s="1" t="str">
        <f t="shared" si="37"/>
        <v>天草</v>
      </c>
      <c r="B715" s="1" t="str">
        <f>"かわはら眼科クリニック"</f>
        <v>かわはら眼科クリニック</v>
      </c>
      <c r="C715" s="1" t="str">
        <f>"863-0002"</f>
        <v>863-0002</v>
      </c>
      <c r="D715" s="1" t="s">
        <v>828</v>
      </c>
      <c r="E715" s="1" t="str">
        <f>"0969251515    "</f>
        <v xml:space="preserve">0969251515    </v>
      </c>
      <c r="F715" s="1" t="str">
        <f>"川原　幸雄"</f>
        <v>川原　幸雄</v>
      </c>
      <c r="G715" s="1" t="str">
        <f>"H14.11.14"</f>
        <v>H14.11.14</v>
      </c>
      <c r="H715" s="1" t="str">
        <f t="shared" si="35"/>
        <v>開設中</v>
      </c>
      <c r="I715" s="1">
        <v>0</v>
      </c>
      <c r="J715" s="1">
        <v>0</v>
      </c>
      <c r="K715" s="1">
        <v>0</v>
      </c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>
        <v>1</v>
      </c>
      <c r="AO715" s="2"/>
      <c r="AP715" s="2"/>
      <c r="AQ715" s="2"/>
      <c r="AR715" s="2"/>
      <c r="AS715" s="2"/>
      <c r="AT715" s="2"/>
      <c r="AU715" s="2"/>
      <c r="AV715" s="2"/>
      <c r="AW715" s="2"/>
      <c r="AX715" s="1"/>
    </row>
    <row r="716" spans="1:50" x14ac:dyDescent="0.4">
      <c r="A716" s="1" t="str">
        <f t="shared" si="37"/>
        <v>天草</v>
      </c>
      <c r="B716" s="1" t="str">
        <f>"木山・中村クリニック"</f>
        <v>木山・中村クリニック</v>
      </c>
      <c r="C716" s="1" t="str">
        <f>"863-0019"</f>
        <v>863-0019</v>
      </c>
      <c r="D716" s="1" t="s">
        <v>829</v>
      </c>
      <c r="E716" s="1" t="str">
        <f>"0969234412    "</f>
        <v xml:space="preserve">0969234412    </v>
      </c>
      <c r="F716" s="1" t="str">
        <f>"医療法人　萌悠会"</f>
        <v>医療法人　萌悠会</v>
      </c>
      <c r="G716" s="1" t="str">
        <f>"H17.01.01"</f>
        <v>H17.01.01</v>
      </c>
      <c r="H716" s="1" t="str">
        <f t="shared" si="35"/>
        <v>開設中</v>
      </c>
      <c r="I716" s="1">
        <v>0</v>
      </c>
      <c r="J716" s="1">
        <v>0</v>
      </c>
      <c r="K716" s="1">
        <v>0</v>
      </c>
      <c r="L716" s="2">
        <v>1</v>
      </c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1" t="s">
        <v>61</v>
      </c>
    </row>
    <row r="717" spans="1:50" x14ac:dyDescent="0.4">
      <c r="A717" s="1" t="str">
        <f t="shared" si="37"/>
        <v>天草</v>
      </c>
      <c r="B717" s="1" t="str">
        <f>"熊本県天草保健所"</f>
        <v>熊本県天草保健所</v>
      </c>
      <c r="C717" s="1" t="str">
        <f>"863-0013"</f>
        <v>863-0013</v>
      </c>
      <c r="D717" s="1" t="s">
        <v>830</v>
      </c>
      <c r="E717" s="1" t="str">
        <f>"0969230172    "</f>
        <v xml:space="preserve">0969230172    </v>
      </c>
      <c r="F717" s="1" t="str">
        <f>"熊本県"</f>
        <v>熊本県</v>
      </c>
      <c r="G717" s="1" t="str">
        <f>"S45.05.15"</f>
        <v>S45.05.15</v>
      </c>
      <c r="H717" s="1" t="str">
        <f t="shared" si="35"/>
        <v>開設中</v>
      </c>
      <c r="I717" s="1">
        <v>0</v>
      </c>
      <c r="J717" s="1">
        <v>0</v>
      </c>
      <c r="K717" s="1">
        <v>0</v>
      </c>
      <c r="L717" s="2">
        <v>1</v>
      </c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>
        <v>1</v>
      </c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1"/>
    </row>
    <row r="718" spans="1:50" x14ac:dyDescent="0.4">
      <c r="A718" s="1" t="str">
        <f t="shared" si="37"/>
        <v>天草</v>
      </c>
      <c r="B718" s="1" t="str">
        <f>"さかいクリニック"</f>
        <v>さかいクリニック</v>
      </c>
      <c r="C718" s="1" t="str">
        <f>"863-0021"</f>
        <v>863-0021</v>
      </c>
      <c r="D718" s="1" t="s">
        <v>831</v>
      </c>
      <c r="E718" s="1" t="str">
        <f>"0969224133    "</f>
        <v xml:space="preserve">0969224133    </v>
      </c>
      <c r="F718" s="1" t="str">
        <f>"医療法人社団　苓仁会"</f>
        <v>医療法人社団　苓仁会</v>
      </c>
      <c r="G718" s="1" t="str">
        <f>"H07.03.01"</f>
        <v>H07.03.01</v>
      </c>
      <c r="H718" s="1" t="str">
        <f t="shared" si="35"/>
        <v>開設中</v>
      </c>
      <c r="I718" s="1">
        <v>19</v>
      </c>
      <c r="J718" s="1">
        <v>19</v>
      </c>
      <c r="K718" s="1">
        <v>0</v>
      </c>
      <c r="L718" s="2">
        <v>1</v>
      </c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>
        <v>1</v>
      </c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>
        <v>1</v>
      </c>
      <c r="AR718" s="2"/>
      <c r="AS718" s="2"/>
      <c r="AT718" s="2"/>
      <c r="AU718" s="2"/>
      <c r="AV718" s="2"/>
      <c r="AW718" s="2"/>
      <c r="AX718" s="1"/>
    </row>
    <row r="719" spans="1:50" x14ac:dyDescent="0.4">
      <c r="A719" s="1" t="str">
        <f t="shared" si="37"/>
        <v>天草</v>
      </c>
      <c r="B719" s="1" t="str">
        <f>"産科・婦人科本原クリニック"</f>
        <v>産科・婦人科本原クリニック</v>
      </c>
      <c r="C719" s="1" t="str">
        <f>"863-0025"</f>
        <v>863-0025</v>
      </c>
      <c r="D719" s="1" t="s">
        <v>832</v>
      </c>
      <c r="E719" s="1" t="str">
        <f>"0969241175    "</f>
        <v xml:space="preserve">0969241175    </v>
      </c>
      <c r="F719" s="1" t="str">
        <f>"医療法人　本原会"</f>
        <v>医療法人　本原会</v>
      </c>
      <c r="G719" s="1" t="str">
        <f>"H01.04.01"</f>
        <v>H01.04.01</v>
      </c>
      <c r="H719" s="1" t="str">
        <f t="shared" si="35"/>
        <v>開設中</v>
      </c>
      <c r="I719" s="1">
        <v>19</v>
      </c>
      <c r="J719" s="1">
        <v>19</v>
      </c>
      <c r="K719" s="1">
        <v>0</v>
      </c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>
        <v>1</v>
      </c>
      <c r="AM719" s="2">
        <v>1</v>
      </c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1"/>
    </row>
    <row r="720" spans="1:50" x14ac:dyDescent="0.4">
      <c r="A720" s="1" t="str">
        <f t="shared" si="37"/>
        <v>天草</v>
      </c>
      <c r="B720" s="1" t="str">
        <f>"一般社団法人天草郡市医師会立　天草地域健診センター"</f>
        <v>一般社団法人天草郡市医師会立　天草地域健診センター</v>
      </c>
      <c r="C720" s="1" t="str">
        <f>"863-0046"</f>
        <v>863-0046</v>
      </c>
      <c r="D720" s="1" t="s">
        <v>833</v>
      </c>
      <c r="E720" s="1" t="str">
        <f>"0969244166    "</f>
        <v xml:space="preserve">0969244166    </v>
      </c>
      <c r="F720" s="1" t="str">
        <f>"一般社団法人　天草郡市医師会"</f>
        <v>一般社団法人　天草郡市医師会</v>
      </c>
      <c r="G720" s="1" t="str">
        <f>"H14.10.01"</f>
        <v>H14.10.01</v>
      </c>
      <c r="H720" s="1" t="str">
        <f t="shared" si="35"/>
        <v>開設中</v>
      </c>
      <c r="I720" s="1">
        <v>11</v>
      </c>
      <c r="J720" s="1">
        <v>11</v>
      </c>
      <c r="K720" s="1">
        <v>0</v>
      </c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>
        <v>1</v>
      </c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>
        <v>1</v>
      </c>
      <c r="AS720" s="2"/>
      <c r="AT720" s="2"/>
      <c r="AU720" s="2"/>
      <c r="AV720" s="2"/>
      <c r="AW720" s="2"/>
      <c r="AX720" s="1" t="s">
        <v>61</v>
      </c>
    </row>
    <row r="721" spans="1:50" x14ac:dyDescent="0.4">
      <c r="A721" s="1" t="str">
        <f t="shared" si="37"/>
        <v>天草</v>
      </c>
      <c r="B721" s="1" t="str">
        <f>"星光園　医務室"</f>
        <v>星光園　医務室</v>
      </c>
      <c r="C721" s="1" t="str">
        <f>"863-0002"</f>
        <v>863-0002</v>
      </c>
      <c r="D721" s="1" t="s">
        <v>834</v>
      </c>
      <c r="E721" s="1" t="str">
        <f>"0969233506    "</f>
        <v xml:space="preserve">0969233506    </v>
      </c>
      <c r="F721" s="1" t="str">
        <f>"社会福祉法人　北斗会"</f>
        <v>社会福祉法人　北斗会</v>
      </c>
      <c r="G721" s="1" t="str">
        <f>"S50.09.10"</f>
        <v>S50.09.10</v>
      </c>
      <c r="H721" s="1" t="str">
        <f t="shared" si="35"/>
        <v>開設中</v>
      </c>
      <c r="I721" s="1">
        <v>0</v>
      </c>
      <c r="J721" s="1">
        <v>0</v>
      </c>
      <c r="K721" s="1">
        <v>0</v>
      </c>
      <c r="L721" s="2">
        <v>1</v>
      </c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1"/>
    </row>
    <row r="722" spans="1:50" x14ac:dyDescent="0.4">
      <c r="A722" s="1" t="str">
        <f t="shared" si="37"/>
        <v>天草</v>
      </c>
      <c r="B722" s="1" t="str">
        <f>"特別養護老人ホーム慈晃園"</f>
        <v>特別養護老人ホーム慈晃園</v>
      </c>
      <c r="C722" s="1" t="str">
        <f>"863-2171"</f>
        <v>863-2171</v>
      </c>
      <c r="D722" s="1" t="s">
        <v>835</v>
      </c>
      <c r="E722" s="1" t="str">
        <f>"0969236610    "</f>
        <v xml:space="preserve">0969236610    </v>
      </c>
      <c r="F722" s="1" t="str">
        <f>"社会福祉法人　慈雲会"</f>
        <v>社会福祉法人　慈雲会</v>
      </c>
      <c r="G722" s="1" t="str">
        <f>"H04.06.15"</f>
        <v>H04.06.15</v>
      </c>
      <c r="H722" s="1" t="str">
        <f t="shared" si="35"/>
        <v>開設中</v>
      </c>
      <c r="I722" s="1">
        <v>0</v>
      </c>
      <c r="J722" s="1">
        <v>0</v>
      </c>
      <c r="K722" s="1">
        <v>0</v>
      </c>
      <c r="L722" s="2">
        <v>1</v>
      </c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1"/>
    </row>
    <row r="723" spans="1:50" x14ac:dyDescent="0.4">
      <c r="A723" s="1" t="str">
        <f t="shared" si="37"/>
        <v>天草</v>
      </c>
      <c r="B723" s="1" t="str">
        <f>"とりや耳鼻科"</f>
        <v>とりや耳鼻科</v>
      </c>
      <c r="C723" s="1" t="str">
        <f>"863-0031"</f>
        <v>863-0031</v>
      </c>
      <c r="D723" s="1" t="s">
        <v>836</v>
      </c>
      <c r="E723" s="1" t="str">
        <f>"0969226655    "</f>
        <v xml:space="preserve">0969226655    </v>
      </c>
      <c r="F723" s="1" t="str">
        <f>"鳥谷　尚史"</f>
        <v>鳥谷　尚史</v>
      </c>
      <c r="G723" s="1" t="str">
        <f>"H16.12.14"</f>
        <v>H16.12.14</v>
      </c>
      <c r="H723" s="1" t="str">
        <f t="shared" si="35"/>
        <v>開設中</v>
      </c>
      <c r="I723" s="1">
        <v>0</v>
      </c>
      <c r="J723" s="1">
        <v>0</v>
      </c>
      <c r="K723" s="1">
        <v>0</v>
      </c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>
        <v>1</v>
      </c>
      <c r="AP723" s="2"/>
      <c r="AQ723" s="2"/>
      <c r="AR723" s="2"/>
      <c r="AS723" s="2"/>
      <c r="AT723" s="2"/>
      <c r="AU723" s="2"/>
      <c r="AV723" s="2"/>
      <c r="AW723" s="2"/>
      <c r="AX723" s="1"/>
    </row>
    <row r="724" spans="1:50" x14ac:dyDescent="0.4">
      <c r="A724" s="1" t="str">
        <f t="shared" si="37"/>
        <v>天草</v>
      </c>
      <c r="B724" s="1" t="str">
        <f>"東整形外科"</f>
        <v>東整形外科</v>
      </c>
      <c r="C724" s="1" t="str">
        <f>"863-0031"</f>
        <v>863-0031</v>
      </c>
      <c r="D724" s="1" t="s">
        <v>837</v>
      </c>
      <c r="E724" s="1" t="str">
        <f>"0969243131    "</f>
        <v xml:space="preserve">0969243131    </v>
      </c>
      <c r="F724" s="1" t="str">
        <f>"医療法人社団　東栄会"</f>
        <v>医療法人社団　東栄会</v>
      </c>
      <c r="G724" s="1" t="str">
        <f>"H04.07.31"</f>
        <v>H04.07.31</v>
      </c>
      <c r="H724" s="1" t="str">
        <f t="shared" si="35"/>
        <v>開設中</v>
      </c>
      <c r="I724" s="1">
        <v>0</v>
      </c>
      <c r="J724" s="1">
        <v>0</v>
      </c>
      <c r="K724" s="1">
        <v>0</v>
      </c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>
        <v>1</v>
      </c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>
        <v>1</v>
      </c>
      <c r="AR724" s="2"/>
      <c r="AS724" s="2"/>
      <c r="AT724" s="2"/>
      <c r="AU724" s="2"/>
      <c r="AV724" s="2"/>
      <c r="AW724" s="2"/>
      <c r="AX724" s="1"/>
    </row>
    <row r="725" spans="1:50" x14ac:dyDescent="0.4">
      <c r="A725" s="1" t="str">
        <f t="shared" si="37"/>
        <v>天草</v>
      </c>
      <c r="B725" s="1" t="str">
        <f>"開内科医院"</f>
        <v>開内科医院</v>
      </c>
      <c r="C725" s="1" t="str">
        <f>"861-6551"</f>
        <v>861-6551</v>
      </c>
      <c r="D725" s="1" t="s">
        <v>838</v>
      </c>
      <c r="E725" s="1" t="str">
        <f>"0969230561    "</f>
        <v xml:space="preserve">0969230561    </v>
      </c>
      <c r="F725" s="1" t="str">
        <f>"医療法人社団　開会"</f>
        <v>医療法人社団　開会</v>
      </c>
      <c r="G725" s="1" t="str">
        <f>"H04.01.01"</f>
        <v>H04.01.01</v>
      </c>
      <c r="H725" s="1" t="str">
        <f t="shared" si="35"/>
        <v>開設中</v>
      </c>
      <c r="I725" s="1">
        <v>15</v>
      </c>
      <c r="J725" s="1">
        <v>15</v>
      </c>
      <c r="K725" s="1">
        <v>0</v>
      </c>
      <c r="L725" s="2">
        <v>1</v>
      </c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1"/>
    </row>
    <row r="726" spans="1:50" x14ac:dyDescent="0.4">
      <c r="A726" s="1" t="str">
        <f t="shared" si="37"/>
        <v>天草</v>
      </c>
      <c r="B726" s="1" t="str">
        <f>"福本医院"</f>
        <v>福本医院</v>
      </c>
      <c r="C726" s="1" t="str">
        <f>"863-0044"</f>
        <v>863-0044</v>
      </c>
      <c r="D726" s="1" t="s">
        <v>839</v>
      </c>
      <c r="E726" s="1" t="str">
        <f>"0969233533    "</f>
        <v xml:space="preserve">0969233533    </v>
      </c>
      <c r="F726" s="1" t="str">
        <f>"医療法人社団　福寿会"</f>
        <v>医療法人社団　福寿会</v>
      </c>
      <c r="G726" s="1" t="str">
        <f>"H15.01.01"</f>
        <v>H15.01.01</v>
      </c>
      <c r="H726" s="1" t="str">
        <f t="shared" si="35"/>
        <v>開設中</v>
      </c>
      <c r="I726" s="1">
        <v>11</v>
      </c>
      <c r="J726" s="1">
        <v>11</v>
      </c>
      <c r="K726" s="1">
        <v>0</v>
      </c>
      <c r="L726" s="2">
        <v>1</v>
      </c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1"/>
    </row>
    <row r="727" spans="1:50" x14ac:dyDescent="0.4">
      <c r="A727" s="1" t="str">
        <f t="shared" si="37"/>
        <v>天草</v>
      </c>
      <c r="B727" s="1" t="str">
        <f>"毛利内科"</f>
        <v>毛利内科</v>
      </c>
      <c r="C727" s="1" t="str">
        <f>"863-0006"</f>
        <v>863-0006</v>
      </c>
      <c r="D727" s="1" t="s">
        <v>840</v>
      </c>
      <c r="E727" s="1" t="str">
        <f>"0969223468    "</f>
        <v xml:space="preserve">0969223468    </v>
      </c>
      <c r="F727" s="1" t="str">
        <f>"医療法人社団　聖心会"</f>
        <v>医療法人社団　聖心会</v>
      </c>
      <c r="G727" s="1" t="str">
        <f>"H07.05.10"</f>
        <v>H07.05.10</v>
      </c>
      <c r="H727" s="1" t="str">
        <f t="shared" si="35"/>
        <v>開設中</v>
      </c>
      <c r="I727" s="1">
        <v>0</v>
      </c>
      <c r="J727" s="1">
        <v>0</v>
      </c>
      <c r="K727" s="1">
        <v>0</v>
      </c>
      <c r="L727" s="2">
        <v>1</v>
      </c>
      <c r="M727" s="2"/>
      <c r="N727" s="2"/>
      <c r="O727" s="2"/>
      <c r="P727" s="2"/>
      <c r="Q727" s="2"/>
      <c r="R727" s="2">
        <v>1</v>
      </c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1"/>
    </row>
    <row r="728" spans="1:50" x14ac:dyDescent="0.4">
      <c r="A728" s="1" t="str">
        <f t="shared" si="37"/>
        <v>天草</v>
      </c>
      <c r="B728" s="1" t="str">
        <f>"やました医院"</f>
        <v>やました医院</v>
      </c>
      <c r="C728" s="1" t="str">
        <f>"863-0049"</f>
        <v>863-0049</v>
      </c>
      <c r="D728" s="1" t="s">
        <v>841</v>
      </c>
      <c r="E728" s="1" t="str">
        <f>"0969270131    "</f>
        <v xml:space="preserve">0969270131    </v>
      </c>
      <c r="F728" s="1" t="str">
        <f>"医療法人　誠啓会"</f>
        <v>医療法人　誠啓会</v>
      </c>
      <c r="G728" s="1" t="str">
        <f>"H15.05.01"</f>
        <v>H15.05.01</v>
      </c>
      <c r="H728" s="1" t="str">
        <f t="shared" si="35"/>
        <v>開設中</v>
      </c>
      <c r="I728" s="1">
        <v>0</v>
      </c>
      <c r="J728" s="1">
        <v>0</v>
      </c>
      <c r="K728" s="1">
        <v>0</v>
      </c>
      <c r="L728" s="2">
        <v>1</v>
      </c>
      <c r="M728" s="2"/>
      <c r="N728" s="2"/>
      <c r="O728" s="2"/>
      <c r="P728" s="2"/>
      <c r="Q728" s="2"/>
      <c r="R728" s="2"/>
      <c r="S728" s="2"/>
      <c r="T728" s="2">
        <v>1</v>
      </c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1"/>
    </row>
    <row r="729" spans="1:50" x14ac:dyDescent="0.4">
      <c r="A729" s="1" t="str">
        <f t="shared" si="37"/>
        <v>天草</v>
      </c>
      <c r="B729" s="1" t="str">
        <f>"うしぶか皮膚科・形成外科クリニック"</f>
        <v>うしぶか皮膚科・形成外科クリニック</v>
      </c>
      <c r="C729" s="1" t="str">
        <f>"863-1901"</f>
        <v>863-1901</v>
      </c>
      <c r="D729" s="1" t="s">
        <v>842</v>
      </c>
      <c r="E729" s="1" t="str">
        <f>"0969741122    "</f>
        <v xml:space="preserve">0969741122    </v>
      </c>
      <c r="F729" s="1" t="str">
        <f>"医療法人社団　栗﨑会"</f>
        <v>医療法人社団　栗﨑会</v>
      </c>
      <c r="G729" s="1" t="str">
        <f>"H16.07.01"</f>
        <v>H16.07.01</v>
      </c>
      <c r="H729" s="1" t="str">
        <f t="shared" si="35"/>
        <v>開設中</v>
      </c>
      <c r="I729" s="1">
        <v>0</v>
      </c>
      <c r="J729" s="1">
        <v>0</v>
      </c>
      <c r="K729" s="1">
        <v>0</v>
      </c>
      <c r="L729" s="2"/>
      <c r="M729" s="2"/>
      <c r="N729" s="2"/>
      <c r="O729" s="2"/>
      <c r="P729" s="2"/>
      <c r="Q729" s="2"/>
      <c r="R729" s="2"/>
      <c r="S729" s="2"/>
      <c r="T729" s="2"/>
      <c r="U729" s="2">
        <v>1</v>
      </c>
      <c r="V729" s="2"/>
      <c r="W729" s="2"/>
      <c r="X729" s="2"/>
      <c r="Y729" s="2"/>
      <c r="Z729" s="2">
        <v>1</v>
      </c>
      <c r="AA729" s="2"/>
      <c r="AB729" s="2"/>
      <c r="AC729" s="2"/>
      <c r="AD729" s="2"/>
      <c r="AE729" s="2"/>
      <c r="AF729" s="2"/>
      <c r="AG729" s="2"/>
      <c r="AH729" s="2"/>
      <c r="AI729" s="2">
        <v>1</v>
      </c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1"/>
    </row>
    <row r="730" spans="1:50" x14ac:dyDescent="0.4">
      <c r="A730" s="1" t="str">
        <f t="shared" si="37"/>
        <v>天草</v>
      </c>
      <c r="B730" s="1" t="str">
        <f>"特別養護老人ホーム明照園"</f>
        <v>特別養護老人ホーム明照園</v>
      </c>
      <c r="C730" s="1" t="str">
        <f>"863-1902"</f>
        <v>863-1902</v>
      </c>
      <c r="D730" s="1" t="s">
        <v>843</v>
      </c>
      <c r="E730" s="1" t="str">
        <f>"0979733245    "</f>
        <v xml:space="preserve">0979733245    </v>
      </c>
      <c r="F730" s="1" t="str">
        <f>"社会福祉法人　明照園"</f>
        <v>社会福祉法人　明照園</v>
      </c>
      <c r="G730" s="1" t="str">
        <f>"S53.07.01"</f>
        <v>S53.07.01</v>
      </c>
      <c r="H730" s="1" t="str">
        <f t="shared" si="35"/>
        <v>開設中</v>
      </c>
      <c r="I730" s="1">
        <v>0</v>
      </c>
      <c r="J730" s="1">
        <v>0</v>
      </c>
      <c r="K730" s="1">
        <v>0</v>
      </c>
      <c r="L730" s="2">
        <v>1</v>
      </c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1"/>
    </row>
    <row r="731" spans="1:50" x14ac:dyDescent="0.4">
      <c r="A731" s="1" t="str">
        <f t="shared" si="37"/>
        <v>天草</v>
      </c>
      <c r="B731" s="1" t="str">
        <f>"中邑医院"</f>
        <v>中邑医院</v>
      </c>
      <c r="C731" s="1" t="str">
        <f>"863-1902"</f>
        <v>863-1902</v>
      </c>
      <c r="D731" s="1" t="s">
        <v>844</v>
      </c>
      <c r="E731" s="1" t="str">
        <f>"0969740370    "</f>
        <v xml:space="preserve">0969740370    </v>
      </c>
      <c r="F731" s="1" t="str">
        <f>"医療法人社団泰心会"</f>
        <v>医療法人社団泰心会</v>
      </c>
      <c r="G731" s="1" t="str">
        <f>"H12.12.19"</f>
        <v>H12.12.19</v>
      </c>
      <c r="H731" s="1" t="str">
        <f t="shared" si="35"/>
        <v>開設中</v>
      </c>
      <c r="I731" s="1">
        <v>13</v>
      </c>
      <c r="J731" s="1">
        <v>13</v>
      </c>
      <c r="K731" s="1">
        <v>0</v>
      </c>
      <c r="L731" s="2">
        <v>1</v>
      </c>
      <c r="M731" s="2"/>
      <c r="N731" s="2"/>
      <c r="O731" s="2"/>
      <c r="P731" s="2"/>
      <c r="Q731" s="2"/>
      <c r="R731" s="2"/>
      <c r="S731" s="2"/>
      <c r="T731" s="2">
        <v>1</v>
      </c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>
        <v>1</v>
      </c>
      <c r="AR731" s="2"/>
      <c r="AS731" s="2"/>
      <c r="AT731" s="2"/>
      <c r="AU731" s="2"/>
      <c r="AV731" s="2"/>
      <c r="AW731" s="2"/>
      <c r="AX731" s="1"/>
    </row>
    <row r="732" spans="1:50" x14ac:dyDescent="0.4">
      <c r="A732" s="1" t="str">
        <f t="shared" si="37"/>
        <v>天草</v>
      </c>
      <c r="B732" s="1" t="str">
        <f>"松本医院"</f>
        <v>松本医院</v>
      </c>
      <c r="C732" s="1" t="str">
        <f>"863-1901"</f>
        <v>863-1901</v>
      </c>
      <c r="D732" s="1" t="s">
        <v>845</v>
      </c>
      <c r="E732" s="1" t="str">
        <f>"0969722035    "</f>
        <v xml:space="preserve">0969722035    </v>
      </c>
      <c r="F732" s="1" t="str">
        <f>"医療法人社団　孔和会"</f>
        <v>医療法人社団　孔和会</v>
      </c>
      <c r="G732" s="1" t="str">
        <f>"H13.04.01"</f>
        <v>H13.04.01</v>
      </c>
      <c r="H732" s="1" t="str">
        <f t="shared" ref="H732:H795" si="38">"開設中"</f>
        <v>開設中</v>
      </c>
      <c r="I732" s="1">
        <v>0</v>
      </c>
      <c r="J732" s="1">
        <v>0</v>
      </c>
      <c r="K732" s="1">
        <v>0</v>
      </c>
      <c r="L732" s="2">
        <v>1</v>
      </c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>
        <v>1</v>
      </c>
      <c r="AO732" s="2"/>
      <c r="AP732" s="2"/>
      <c r="AQ732" s="2"/>
      <c r="AR732" s="2"/>
      <c r="AS732" s="2"/>
      <c r="AT732" s="2"/>
      <c r="AU732" s="2"/>
      <c r="AV732" s="2"/>
      <c r="AW732" s="2"/>
      <c r="AX732" s="1"/>
    </row>
    <row r="733" spans="1:50" x14ac:dyDescent="0.4">
      <c r="A733" s="1" t="str">
        <f t="shared" si="37"/>
        <v>天草</v>
      </c>
      <c r="B733" s="1" t="str">
        <f>"松本内科・眼科"</f>
        <v>松本内科・眼科</v>
      </c>
      <c r="C733" s="1" t="str">
        <f>"863-1902"</f>
        <v>863-1902</v>
      </c>
      <c r="D733" s="1" t="s">
        <v>846</v>
      </c>
      <c r="E733" s="1" t="str">
        <f>"0969722833    "</f>
        <v xml:space="preserve">0969722833    </v>
      </c>
      <c r="F733" s="1" t="str">
        <f>"医療法人社団　孔和会"</f>
        <v>医療法人社団　孔和会</v>
      </c>
      <c r="G733" s="1" t="str">
        <f>"H04.04.01"</f>
        <v>H04.04.01</v>
      </c>
      <c r="H733" s="1" t="str">
        <f t="shared" si="38"/>
        <v>開設中</v>
      </c>
      <c r="I733" s="1">
        <v>0</v>
      </c>
      <c r="J733" s="1">
        <v>0</v>
      </c>
      <c r="K733" s="1">
        <v>0</v>
      </c>
      <c r="L733" s="2">
        <v>1</v>
      </c>
      <c r="M733" s="2"/>
      <c r="N733" s="2"/>
      <c r="O733" s="2"/>
      <c r="P733" s="2">
        <v>1</v>
      </c>
      <c r="Q733" s="2"/>
      <c r="R733" s="2"/>
      <c r="S733" s="2"/>
      <c r="T733" s="2">
        <v>1</v>
      </c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>
        <v>1</v>
      </c>
      <c r="AO733" s="2"/>
      <c r="AP733" s="2"/>
      <c r="AQ733" s="2">
        <v>1</v>
      </c>
      <c r="AR733" s="2"/>
      <c r="AS733" s="2"/>
      <c r="AT733" s="2"/>
      <c r="AU733" s="2"/>
      <c r="AV733" s="2"/>
      <c r="AW733" s="2"/>
      <c r="AX733" s="1"/>
    </row>
    <row r="734" spans="1:50" x14ac:dyDescent="0.4">
      <c r="A734" s="1" t="str">
        <f t="shared" si="37"/>
        <v>天草</v>
      </c>
      <c r="B734" s="1" t="str">
        <f>"大矢野クリニック"</f>
        <v>大矢野クリニック</v>
      </c>
      <c r="C734" s="1" t="str">
        <f>"869-3602"</f>
        <v>869-3602</v>
      </c>
      <c r="D734" s="1" t="s">
        <v>847</v>
      </c>
      <c r="E734" s="1" t="str">
        <f>"0964592223    "</f>
        <v xml:space="preserve">0964592223    </v>
      </c>
      <c r="F734" s="1" t="str">
        <f>"医療法人社団　永寿会"</f>
        <v>医療法人社団　永寿会</v>
      </c>
      <c r="G734" s="1" t="str">
        <f>"H13.04.16"</f>
        <v>H13.04.16</v>
      </c>
      <c r="H734" s="1" t="str">
        <f t="shared" si="38"/>
        <v>開設中</v>
      </c>
      <c r="I734" s="1">
        <v>0</v>
      </c>
      <c r="J734" s="1">
        <v>0</v>
      </c>
      <c r="K734" s="1">
        <v>0</v>
      </c>
      <c r="L734" s="2">
        <v>1</v>
      </c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>
        <v>1</v>
      </c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1"/>
    </row>
    <row r="735" spans="1:50" x14ac:dyDescent="0.4">
      <c r="A735" s="1" t="str">
        <f t="shared" si="37"/>
        <v>天草</v>
      </c>
      <c r="B735" s="1" t="str">
        <f>"島田小児科医院"</f>
        <v>島田小児科医院</v>
      </c>
      <c r="C735" s="1" t="str">
        <f>"869-3601"</f>
        <v>869-3601</v>
      </c>
      <c r="D735" s="1" t="s">
        <v>848</v>
      </c>
      <c r="E735" s="1" t="str">
        <f>"0964560005    "</f>
        <v xml:space="preserve">0964560005    </v>
      </c>
      <c r="F735" s="1" t="str">
        <f>"医療法人社団　松丸会"</f>
        <v>医療法人社団　松丸会</v>
      </c>
      <c r="G735" s="1" t="str">
        <f>"H02.04.01"</f>
        <v>H02.04.01</v>
      </c>
      <c r="H735" s="1" t="str">
        <f t="shared" si="38"/>
        <v>開設中</v>
      </c>
      <c r="I735" s="1">
        <v>0</v>
      </c>
      <c r="J735" s="1">
        <v>0</v>
      </c>
      <c r="K735" s="1">
        <v>0</v>
      </c>
      <c r="L735" s="2">
        <v>1</v>
      </c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>
        <v>1</v>
      </c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1"/>
    </row>
    <row r="736" spans="1:50" x14ac:dyDescent="0.4">
      <c r="A736" s="1" t="str">
        <f t="shared" si="37"/>
        <v>天草</v>
      </c>
      <c r="B736" s="1" t="str">
        <f>"特別養護老人ホーム南風苑"</f>
        <v>特別養護老人ホーム南風苑</v>
      </c>
      <c r="C736" s="1" t="str">
        <f>"869-3601"</f>
        <v>869-3601</v>
      </c>
      <c r="D736" s="1" t="s">
        <v>849</v>
      </c>
      <c r="E736" s="1" t="str">
        <f>"0964560263    "</f>
        <v xml:space="preserve">0964560263    </v>
      </c>
      <c r="F736" s="1" t="str">
        <f>"社会福祉法人　博友会"</f>
        <v>社会福祉法人　博友会</v>
      </c>
      <c r="G736" s="1" t="str">
        <f>"S57.03.29"</f>
        <v>S57.03.29</v>
      </c>
      <c r="H736" s="1" t="str">
        <f t="shared" si="38"/>
        <v>開設中</v>
      </c>
      <c r="I736" s="1">
        <v>0</v>
      </c>
      <c r="J736" s="1">
        <v>0</v>
      </c>
      <c r="K736" s="1">
        <v>0</v>
      </c>
      <c r="L736" s="2">
        <v>1</v>
      </c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1"/>
    </row>
    <row r="737" spans="1:50" x14ac:dyDescent="0.4">
      <c r="A737" s="1" t="str">
        <f t="shared" si="37"/>
        <v>天草</v>
      </c>
      <c r="B737" s="1" t="str">
        <f>"中村医院"</f>
        <v>中村医院</v>
      </c>
      <c r="C737" s="1" t="str">
        <f>"869-3601"</f>
        <v>869-3601</v>
      </c>
      <c r="D737" s="1" t="s">
        <v>850</v>
      </c>
      <c r="E737" s="1" t="str">
        <f>"0964560006    "</f>
        <v xml:space="preserve">0964560006    </v>
      </c>
      <c r="F737" s="1" t="str">
        <f>"中村　達男"</f>
        <v>中村　達男</v>
      </c>
      <c r="G737" s="1" t="str">
        <f>"S44.01.01"</f>
        <v>S44.01.01</v>
      </c>
      <c r="H737" s="1" t="str">
        <f t="shared" si="38"/>
        <v>開設中</v>
      </c>
      <c r="I737" s="1">
        <v>0</v>
      </c>
      <c r="J737" s="1">
        <v>0</v>
      </c>
      <c r="K737" s="1">
        <v>0</v>
      </c>
      <c r="L737" s="2">
        <v>1</v>
      </c>
      <c r="M737" s="2"/>
      <c r="N737" s="2"/>
      <c r="O737" s="2"/>
      <c r="P737" s="2"/>
      <c r="Q737" s="2"/>
      <c r="R737" s="2"/>
      <c r="S737" s="2"/>
      <c r="T737" s="2">
        <v>1</v>
      </c>
      <c r="U737" s="2"/>
      <c r="V737" s="2"/>
      <c r="W737" s="2">
        <v>1</v>
      </c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1"/>
    </row>
    <row r="738" spans="1:50" x14ac:dyDescent="0.4">
      <c r="A738" s="1" t="str">
        <f t="shared" si="37"/>
        <v>天草</v>
      </c>
      <c r="B738" s="1" t="str">
        <f>"中村医院"</f>
        <v>中村医院</v>
      </c>
      <c r="C738" s="1" t="str">
        <f>"869-3602"</f>
        <v>869-3602</v>
      </c>
      <c r="D738" s="1" t="s">
        <v>851</v>
      </c>
      <c r="E738" s="1" t="str">
        <f>"0964560003    "</f>
        <v xml:space="preserve">0964560003    </v>
      </c>
      <c r="F738" s="1" t="str">
        <f>"医療法人　仁寿会"</f>
        <v>医療法人　仁寿会</v>
      </c>
      <c r="G738" s="1" t="str">
        <f>"S27.02.02"</f>
        <v>S27.02.02</v>
      </c>
      <c r="H738" s="1" t="str">
        <f t="shared" si="38"/>
        <v>開設中</v>
      </c>
      <c r="I738" s="1">
        <v>0</v>
      </c>
      <c r="J738" s="1">
        <v>0</v>
      </c>
      <c r="K738" s="1">
        <v>0</v>
      </c>
      <c r="L738" s="2">
        <v>1</v>
      </c>
      <c r="M738" s="2"/>
      <c r="N738" s="2"/>
      <c r="O738" s="2"/>
      <c r="P738" s="2"/>
      <c r="Q738" s="2">
        <v>1</v>
      </c>
      <c r="R738" s="2">
        <v>1</v>
      </c>
      <c r="S738" s="2"/>
      <c r="T738" s="2">
        <v>1</v>
      </c>
      <c r="U738" s="2"/>
      <c r="V738" s="2"/>
      <c r="W738" s="2"/>
      <c r="X738" s="2"/>
      <c r="Y738" s="2"/>
      <c r="Z738" s="2">
        <v>1</v>
      </c>
      <c r="AA738" s="2"/>
      <c r="AB738" s="2"/>
      <c r="AC738" s="2"/>
      <c r="AD738" s="2"/>
      <c r="AE738" s="2"/>
      <c r="AF738" s="2"/>
      <c r="AG738" s="2"/>
      <c r="AH738" s="2"/>
      <c r="AI738" s="2">
        <v>1</v>
      </c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1"/>
    </row>
    <row r="739" spans="1:50" x14ac:dyDescent="0.4">
      <c r="A739" s="1" t="str">
        <f t="shared" si="37"/>
        <v>天草</v>
      </c>
      <c r="B739" s="1" t="str">
        <f>"福本眼科"</f>
        <v>福本眼科</v>
      </c>
      <c r="C739" s="1" t="str">
        <f>"869-3602"</f>
        <v>869-3602</v>
      </c>
      <c r="D739" s="1" t="s">
        <v>852</v>
      </c>
      <c r="E739" s="1" t="str">
        <f>"0964560508    "</f>
        <v xml:space="preserve">0964560508    </v>
      </c>
      <c r="F739" s="1" t="str">
        <f>"医療法人社団　輝隆会"</f>
        <v>医療法人社団　輝隆会</v>
      </c>
      <c r="G739" s="1" t="str">
        <f>"H13.07.01"</f>
        <v>H13.07.01</v>
      </c>
      <c r="H739" s="1" t="str">
        <f t="shared" si="38"/>
        <v>開設中</v>
      </c>
      <c r="I739" s="1">
        <v>4</v>
      </c>
      <c r="J739" s="1">
        <v>4</v>
      </c>
      <c r="K739" s="1">
        <v>0</v>
      </c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>
        <v>1</v>
      </c>
      <c r="AO739" s="2"/>
      <c r="AP739" s="2"/>
      <c r="AQ739" s="2"/>
      <c r="AR739" s="2"/>
      <c r="AS739" s="2"/>
      <c r="AT739" s="2"/>
      <c r="AU739" s="2"/>
      <c r="AV739" s="2"/>
      <c r="AW739" s="2"/>
      <c r="AX739" s="1"/>
    </row>
    <row r="740" spans="1:50" x14ac:dyDescent="0.4">
      <c r="A740" s="1" t="str">
        <f t="shared" si="37"/>
        <v>天草</v>
      </c>
      <c r="B740" s="1" t="str">
        <f>"宮崎外科胃腸科医院"</f>
        <v>宮崎外科胃腸科医院</v>
      </c>
      <c r="C740" s="1" t="str">
        <f>"869-3602"</f>
        <v>869-3602</v>
      </c>
      <c r="D740" s="1" t="s">
        <v>853</v>
      </c>
      <c r="E740" s="1" t="str">
        <f>"0964560600    "</f>
        <v xml:space="preserve">0964560600    </v>
      </c>
      <c r="F740" s="1" t="str">
        <f>"医療法人　宮崎会"</f>
        <v>医療法人　宮崎会</v>
      </c>
      <c r="G740" s="1" t="str">
        <f>"H04.06.01"</f>
        <v>H04.06.01</v>
      </c>
      <c r="H740" s="1" t="str">
        <f t="shared" si="38"/>
        <v>開設中</v>
      </c>
      <c r="I740" s="1">
        <v>7</v>
      </c>
      <c r="J740" s="1">
        <v>7</v>
      </c>
      <c r="K740" s="1">
        <v>0</v>
      </c>
      <c r="L740" s="2"/>
      <c r="M740" s="2"/>
      <c r="N740" s="2"/>
      <c r="O740" s="2"/>
      <c r="P740" s="2"/>
      <c r="Q740" s="2"/>
      <c r="R740" s="2"/>
      <c r="S740" s="2">
        <v>1</v>
      </c>
      <c r="T740" s="2"/>
      <c r="U740" s="2"/>
      <c r="V740" s="2"/>
      <c r="W740" s="2"/>
      <c r="X740" s="2">
        <v>1</v>
      </c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>
        <v>1</v>
      </c>
      <c r="AR740" s="2"/>
      <c r="AS740" s="2"/>
      <c r="AT740" s="2"/>
      <c r="AU740" s="2"/>
      <c r="AV740" s="2"/>
      <c r="AW740" s="2"/>
      <c r="AX740" s="1"/>
    </row>
    <row r="741" spans="1:50" x14ac:dyDescent="0.4">
      <c r="A741" s="1" t="str">
        <f t="shared" ref="A741:A772" si="39">"天草"</f>
        <v>天草</v>
      </c>
      <c r="B741" s="1" t="str">
        <f>"毛利医院"</f>
        <v>毛利医院</v>
      </c>
      <c r="C741" s="1" t="str">
        <f>"869-3601"</f>
        <v>869-3601</v>
      </c>
      <c r="D741" s="1" t="s">
        <v>854</v>
      </c>
      <c r="E741" s="1" t="str">
        <f>"0964562111    "</f>
        <v xml:space="preserve">0964562111    </v>
      </c>
      <c r="F741" s="1" t="str">
        <f>"医療法人社団　明公会"</f>
        <v>医療法人社団　明公会</v>
      </c>
      <c r="G741" s="1" t="str">
        <f>"H05.06.01"</f>
        <v>H05.06.01</v>
      </c>
      <c r="H741" s="1" t="str">
        <f t="shared" si="38"/>
        <v>開設中</v>
      </c>
      <c r="I741" s="1">
        <v>0</v>
      </c>
      <c r="J741" s="1">
        <v>0</v>
      </c>
      <c r="K741" s="1">
        <v>0</v>
      </c>
      <c r="L741" s="2">
        <v>1</v>
      </c>
      <c r="M741" s="2"/>
      <c r="N741" s="2"/>
      <c r="O741" s="2"/>
      <c r="P741" s="2"/>
      <c r="Q741" s="2">
        <v>1</v>
      </c>
      <c r="R741" s="2">
        <v>1</v>
      </c>
      <c r="S741" s="2"/>
      <c r="T741" s="2">
        <v>1</v>
      </c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>
        <v>1</v>
      </c>
      <c r="AR741" s="2"/>
      <c r="AS741" s="2"/>
      <c r="AT741" s="2"/>
      <c r="AU741" s="2"/>
      <c r="AV741" s="2"/>
      <c r="AW741" s="2"/>
      <c r="AX741" s="1"/>
    </row>
    <row r="742" spans="1:50" x14ac:dyDescent="0.4">
      <c r="A742" s="1" t="str">
        <f t="shared" si="39"/>
        <v>天草</v>
      </c>
      <c r="B742" s="1" t="str">
        <f>"湯島へき地診療所"</f>
        <v>湯島へき地診療所</v>
      </c>
      <c r="C742" s="1" t="str">
        <f>"869-3711"</f>
        <v>869-3711</v>
      </c>
      <c r="D742" s="1" t="s">
        <v>855</v>
      </c>
      <c r="E742" s="1" t="str">
        <f>"0964564161    "</f>
        <v xml:space="preserve">0964564161    </v>
      </c>
      <c r="F742" s="1" t="str">
        <f>"上天草市"</f>
        <v>上天草市</v>
      </c>
      <c r="G742" s="1" t="str">
        <f>"S47.02.01"</f>
        <v>S47.02.01</v>
      </c>
      <c r="H742" s="1" t="str">
        <f t="shared" si="38"/>
        <v>開設中</v>
      </c>
      <c r="I742" s="1">
        <v>0</v>
      </c>
      <c r="J742" s="1">
        <v>0</v>
      </c>
      <c r="K742" s="1">
        <v>0</v>
      </c>
      <c r="L742" s="2">
        <v>1</v>
      </c>
      <c r="M742" s="2"/>
      <c r="N742" s="2">
        <v>1</v>
      </c>
      <c r="O742" s="2"/>
      <c r="P742" s="2"/>
      <c r="Q742" s="2"/>
      <c r="R742" s="2"/>
      <c r="S742" s="2"/>
      <c r="T742" s="2"/>
      <c r="U742" s="2"/>
      <c r="V742" s="2"/>
      <c r="W742" s="2">
        <v>1</v>
      </c>
      <c r="X742" s="2">
        <v>1</v>
      </c>
      <c r="Y742" s="2">
        <v>1</v>
      </c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>
        <v>1</v>
      </c>
      <c r="AT742" s="2"/>
      <c r="AU742" s="2"/>
      <c r="AV742" s="2"/>
      <c r="AW742" s="2"/>
      <c r="AX742" s="1"/>
    </row>
    <row r="743" spans="1:50" x14ac:dyDescent="0.4">
      <c r="A743" s="1" t="str">
        <f t="shared" si="39"/>
        <v>天草</v>
      </c>
      <c r="B743" s="1" t="str">
        <f>"やまうち医院"</f>
        <v>やまうち医院</v>
      </c>
      <c r="C743" s="1" t="str">
        <f>"861-6101"</f>
        <v>861-6101</v>
      </c>
      <c r="D743" s="1" t="s">
        <v>856</v>
      </c>
      <c r="E743" s="1" t="str">
        <f>"0969560899    "</f>
        <v xml:space="preserve">0969560899    </v>
      </c>
      <c r="F743" s="1" t="str">
        <f>"医療法人社団　愛天会"</f>
        <v>医療法人社団　愛天会</v>
      </c>
      <c r="G743" s="1" t="str">
        <f>"H11.12.20"</f>
        <v>H11.12.20</v>
      </c>
      <c r="H743" s="1" t="str">
        <f t="shared" si="38"/>
        <v>開設中</v>
      </c>
      <c r="I743" s="1">
        <v>19</v>
      </c>
      <c r="J743" s="1">
        <v>19</v>
      </c>
      <c r="K743" s="1">
        <v>0</v>
      </c>
      <c r="L743" s="2">
        <v>1</v>
      </c>
      <c r="M743" s="2"/>
      <c r="N743" s="2"/>
      <c r="O743" s="2"/>
      <c r="P743" s="2"/>
      <c r="Q743" s="2"/>
      <c r="R743" s="2"/>
      <c r="S743" s="2"/>
      <c r="T743" s="2"/>
      <c r="U743" s="2">
        <v>1</v>
      </c>
      <c r="V743" s="2"/>
      <c r="W743" s="2">
        <v>1</v>
      </c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>
        <v>1</v>
      </c>
      <c r="AR743" s="2"/>
      <c r="AS743" s="2"/>
      <c r="AT743" s="2"/>
      <c r="AU743" s="2"/>
      <c r="AV743" s="2"/>
      <c r="AW743" s="2"/>
      <c r="AX743" s="1"/>
    </row>
    <row r="744" spans="1:50" x14ac:dyDescent="0.4">
      <c r="A744" s="1" t="str">
        <f t="shared" si="39"/>
        <v>天草</v>
      </c>
      <c r="B744" s="1" t="str">
        <f>"特別養護老人ホームひかりの園　医務室"</f>
        <v>特別養護老人ホームひかりの園　医務室</v>
      </c>
      <c r="C744" s="1" t="str">
        <f>"861-6103"</f>
        <v>861-6103</v>
      </c>
      <c r="D744" s="1" t="s">
        <v>857</v>
      </c>
      <c r="E744" s="1" t="str">
        <f>"0969561900    "</f>
        <v xml:space="preserve">0969561900    </v>
      </c>
      <c r="F744" s="1" t="str">
        <f>"社会福祉法人　姫戸ひかり会"</f>
        <v>社会福祉法人　姫戸ひかり会</v>
      </c>
      <c r="G744" s="1" t="str">
        <f>"H07.09.01"</f>
        <v>H07.09.01</v>
      </c>
      <c r="H744" s="1" t="str">
        <f t="shared" si="38"/>
        <v>開設中</v>
      </c>
      <c r="I744" s="1">
        <v>0</v>
      </c>
      <c r="J744" s="1">
        <v>0</v>
      </c>
      <c r="K744" s="1">
        <v>0</v>
      </c>
      <c r="L744" s="2">
        <v>1</v>
      </c>
      <c r="M744" s="2"/>
      <c r="N744" s="2"/>
      <c r="O744" s="2"/>
      <c r="P744" s="2"/>
      <c r="Q744" s="2"/>
      <c r="R744" s="2"/>
      <c r="S744" s="2"/>
      <c r="T744" s="2"/>
      <c r="U744" s="2">
        <v>1</v>
      </c>
      <c r="V744" s="2"/>
      <c r="W744" s="2">
        <v>1</v>
      </c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>
        <v>1</v>
      </c>
      <c r="AR744" s="2"/>
      <c r="AS744" s="2"/>
      <c r="AT744" s="2"/>
      <c r="AU744" s="2"/>
      <c r="AV744" s="2"/>
      <c r="AW744" s="2"/>
      <c r="AX744" s="1"/>
    </row>
    <row r="745" spans="1:50" x14ac:dyDescent="0.4">
      <c r="A745" s="1" t="str">
        <f t="shared" si="39"/>
        <v>天草</v>
      </c>
      <c r="B745" s="1" t="str">
        <f>"春田医院"</f>
        <v>春田医院</v>
      </c>
      <c r="C745" s="1" t="str">
        <f>"861-6101"</f>
        <v>861-6101</v>
      </c>
      <c r="D745" s="1" t="s">
        <v>858</v>
      </c>
      <c r="E745" s="1" t="str">
        <f>"0969560052    "</f>
        <v xml:space="preserve">0969560052    </v>
      </c>
      <c r="F745" s="1" t="str">
        <f>"医療法人社団　春田会"</f>
        <v>医療法人社団　春田会</v>
      </c>
      <c r="G745" s="1" t="str">
        <f>"H12.06.01"</f>
        <v>H12.06.01</v>
      </c>
      <c r="H745" s="1" t="str">
        <f t="shared" si="38"/>
        <v>開設中</v>
      </c>
      <c r="I745" s="1">
        <v>0</v>
      </c>
      <c r="J745" s="1">
        <v>0</v>
      </c>
      <c r="K745" s="1">
        <v>0</v>
      </c>
      <c r="L745" s="2">
        <v>1</v>
      </c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>
        <v>1</v>
      </c>
      <c r="X745" s="2">
        <v>1</v>
      </c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1"/>
    </row>
    <row r="746" spans="1:50" x14ac:dyDescent="0.4">
      <c r="A746" s="1" t="str">
        <f t="shared" si="39"/>
        <v>天草</v>
      </c>
      <c r="B746" s="1" t="str">
        <f>"教良木診療所"</f>
        <v>教良木診療所</v>
      </c>
      <c r="C746" s="1" t="str">
        <f>"861-6105"</f>
        <v>861-6105</v>
      </c>
      <c r="D746" s="1" t="s">
        <v>859</v>
      </c>
      <c r="E746" s="1" t="str">
        <f>"0969570037    "</f>
        <v xml:space="preserve">0969570037    </v>
      </c>
      <c r="F746" s="1" t="str">
        <f>"上天草市"</f>
        <v>上天草市</v>
      </c>
      <c r="G746" s="1" t="str">
        <f>"S56.10.14"</f>
        <v>S56.10.14</v>
      </c>
      <c r="H746" s="1" t="str">
        <f t="shared" si="38"/>
        <v>開設中</v>
      </c>
      <c r="I746" s="1">
        <v>0</v>
      </c>
      <c r="J746" s="1">
        <v>0</v>
      </c>
      <c r="K746" s="1">
        <v>0</v>
      </c>
      <c r="L746" s="2">
        <v>1</v>
      </c>
      <c r="M746" s="2"/>
      <c r="N746" s="2"/>
      <c r="O746" s="2"/>
      <c r="P746" s="2"/>
      <c r="Q746" s="2"/>
      <c r="R746" s="2"/>
      <c r="S746" s="2"/>
      <c r="T746" s="2">
        <v>1</v>
      </c>
      <c r="U746" s="2"/>
      <c r="V746" s="2"/>
      <c r="W746" s="2">
        <v>1</v>
      </c>
      <c r="X746" s="2">
        <v>1</v>
      </c>
      <c r="Y746" s="2">
        <v>1</v>
      </c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1"/>
    </row>
    <row r="747" spans="1:50" x14ac:dyDescent="0.4">
      <c r="A747" s="1" t="str">
        <f t="shared" si="39"/>
        <v>天草</v>
      </c>
      <c r="B747" s="1" t="str">
        <f>"竹中医院"</f>
        <v>竹中医院</v>
      </c>
      <c r="C747" s="1" t="str">
        <f>"866-0102"</f>
        <v>866-0102</v>
      </c>
      <c r="D747" s="1" t="s">
        <v>860</v>
      </c>
      <c r="E747" s="1" t="str">
        <f>"0969582148    "</f>
        <v xml:space="preserve">0969582148    </v>
      </c>
      <c r="F747" s="1" t="str">
        <f>"竹中　國昭"</f>
        <v>竹中　國昭</v>
      </c>
      <c r="G747" s="1" t="str">
        <f>"H11.12.07"</f>
        <v>H11.12.07</v>
      </c>
      <c r="H747" s="1" t="str">
        <f t="shared" si="38"/>
        <v>開設中</v>
      </c>
      <c r="I747" s="1">
        <v>0</v>
      </c>
      <c r="J747" s="1">
        <v>0</v>
      </c>
      <c r="K747" s="1">
        <v>0</v>
      </c>
      <c r="L747" s="2">
        <v>1</v>
      </c>
      <c r="M747" s="2"/>
      <c r="N747" s="2"/>
      <c r="O747" s="2"/>
      <c r="P747" s="2"/>
      <c r="Q747" s="2"/>
      <c r="R747" s="2">
        <v>1</v>
      </c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1"/>
    </row>
    <row r="748" spans="1:50" x14ac:dyDescent="0.4">
      <c r="A748" s="1" t="str">
        <f t="shared" si="39"/>
        <v>天草</v>
      </c>
      <c r="B748" s="1" t="str">
        <f>"特別養護老人ホーム翔洋苑"</f>
        <v>特別養護老人ホーム翔洋苑</v>
      </c>
      <c r="C748" s="1" t="str">
        <f>"866-0101"</f>
        <v>866-0101</v>
      </c>
      <c r="D748" s="1" t="s">
        <v>861</v>
      </c>
      <c r="E748" s="1" t="str">
        <f>"0969583611    "</f>
        <v xml:space="preserve">0969583611    </v>
      </c>
      <c r="F748" s="1" t="str">
        <f>"社会福祉法人　姫戸福祉会"</f>
        <v>社会福祉法人　姫戸福祉会</v>
      </c>
      <c r="G748" s="1" t="str">
        <f>"H05.04.01"</f>
        <v>H05.04.01</v>
      </c>
      <c r="H748" s="1" t="str">
        <f t="shared" si="38"/>
        <v>開設中</v>
      </c>
      <c r="I748" s="1">
        <v>0</v>
      </c>
      <c r="J748" s="1">
        <v>0</v>
      </c>
      <c r="K748" s="1">
        <v>0</v>
      </c>
      <c r="L748" s="2">
        <v>1</v>
      </c>
      <c r="M748" s="2"/>
      <c r="N748" s="2"/>
      <c r="O748" s="2"/>
      <c r="P748" s="2"/>
      <c r="Q748" s="2"/>
      <c r="R748" s="2"/>
      <c r="S748" s="2"/>
      <c r="T748" s="2">
        <v>1</v>
      </c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1"/>
    </row>
    <row r="749" spans="1:50" x14ac:dyDescent="0.4">
      <c r="A749" s="1" t="str">
        <f t="shared" si="39"/>
        <v>天草</v>
      </c>
      <c r="B749" s="1" t="str">
        <f>"姫戸医院"</f>
        <v>姫戸医院</v>
      </c>
      <c r="C749" s="1" t="str">
        <f>"866-0101"</f>
        <v>866-0101</v>
      </c>
      <c r="D749" s="1" t="s">
        <v>862</v>
      </c>
      <c r="E749" s="1" t="str">
        <f>"0969583583    "</f>
        <v xml:space="preserve">0969583583    </v>
      </c>
      <c r="F749" s="1" t="str">
        <f>"医療法人社団　翔洋会"</f>
        <v>医療法人社団　翔洋会</v>
      </c>
      <c r="G749" s="1" t="str">
        <f>"H12.04.01"</f>
        <v>H12.04.01</v>
      </c>
      <c r="H749" s="1" t="str">
        <f t="shared" si="38"/>
        <v>開設中</v>
      </c>
      <c r="I749" s="1">
        <v>0</v>
      </c>
      <c r="J749" s="1">
        <v>0</v>
      </c>
      <c r="K749" s="1">
        <v>0</v>
      </c>
      <c r="L749" s="2">
        <v>1</v>
      </c>
      <c r="M749" s="2"/>
      <c r="N749" s="2"/>
      <c r="O749" s="2"/>
      <c r="P749" s="2"/>
      <c r="Q749" s="2"/>
      <c r="R749" s="2"/>
      <c r="S749" s="2"/>
      <c r="T749" s="2">
        <v>1</v>
      </c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1"/>
    </row>
    <row r="750" spans="1:50" x14ac:dyDescent="0.4">
      <c r="A750" s="1" t="str">
        <f t="shared" si="39"/>
        <v>天草</v>
      </c>
      <c r="B750" s="1" t="str">
        <f>"村上医院"</f>
        <v>村上医院</v>
      </c>
      <c r="C750" s="1" t="str">
        <f>"866-0101"</f>
        <v>866-0101</v>
      </c>
      <c r="D750" s="1" t="s">
        <v>863</v>
      </c>
      <c r="E750" s="1" t="str">
        <f>"0969583102    "</f>
        <v xml:space="preserve">0969583102    </v>
      </c>
      <c r="F750" s="1" t="str">
        <f>"医療法人　村上会"</f>
        <v>医療法人　村上会</v>
      </c>
      <c r="G750" s="1" t="str">
        <f>"H09.08.01"</f>
        <v>H09.08.01</v>
      </c>
      <c r="H750" s="1" t="str">
        <f t="shared" si="38"/>
        <v>開設中</v>
      </c>
      <c r="I750" s="1">
        <v>14</v>
      </c>
      <c r="J750" s="1">
        <v>14</v>
      </c>
      <c r="K750" s="1">
        <v>0</v>
      </c>
      <c r="L750" s="2">
        <v>1</v>
      </c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>
        <v>1</v>
      </c>
      <c r="AR750" s="2"/>
      <c r="AS750" s="2"/>
      <c r="AT750" s="2"/>
      <c r="AU750" s="2"/>
      <c r="AV750" s="2"/>
      <c r="AW750" s="2"/>
      <c r="AX750" s="1"/>
    </row>
    <row r="751" spans="1:50" x14ac:dyDescent="0.4">
      <c r="A751" s="1" t="str">
        <f t="shared" si="39"/>
        <v>天草</v>
      </c>
      <c r="B751" s="1" t="str">
        <f>"特別養護老人ホーム相生荘　医務室"</f>
        <v>特別養護老人ホーム相生荘　医務室</v>
      </c>
      <c r="C751" s="1" t="str">
        <f>"866-0201"</f>
        <v>866-0201</v>
      </c>
      <c r="D751" s="1" t="s">
        <v>864</v>
      </c>
      <c r="E751" s="1" t="str">
        <f>"0969630131    "</f>
        <v xml:space="preserve">0969630131    </v>
      </c>
      <c r="F751" s="1" t="str">
        <f>"社会福祉法人　鶴亀会"</f>
        <v>社会福祉法人　鶴亀会</v>
      </c>
      <c r="G751" s="1" t="str">
        <f>"S49.10.01"</f>
        <v>S49.10.01</v>
      </c>
      <c r="H751" s="1" t="str">
        <f t="shared" si="38"/>
        <v>開設中</v>
      </c>
      <c r="I751" s="1">
        <v>0</v>
      </c>
      <c r="J751" s="1">
        <v>0</v>
      </c>
      <c r="K751" s="1">
        <v>0</v>
      </c>
      <c r="L751" s="2">
        <v>1</v>
      </c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1"/>
    </row>
    <row r="752" spans="1:50" x14ac:dyDescent="0.4">
      <c r="A752" s="1" t="str">
        <f t="shared" si="39"/>
        <v>天草</v>
      </c>
      <c r="B752" s="1" t="str">
        <f>"島子ごとう医院"</f>
        <v>島子ごとう医院</v>
      </c>
      <c r="C752" s="1" t="str">
        <f>"861-7314"</f>
        <v>861-7314</v>
      </c>
      <c r="D752" s="1" t="s">
        <v>865</v>
      </c>
      <c r="E752" s="1" t="str">
        <f>"0969520111    "</f>
        <v xml:space="preserve">0969520111    </v>
      </c>
      <c r="F752" s="1" t="str">
        <f>"医療法人　汀会"</f>
        <v>医療法人　汀会</v>
      </c>
      <c r="G752" s="1" t="str">
        <f>"S59.10.29"</f>
        <v>S59.10.29</v>
      </c>
      <c r="H752" s="1" t="str">
        <f t="shared" si="38"/>
        <v>開設中</v>
      </c>
      <c r="I752" s="1">
        <v>0</v>
      </c>
      <c r="J752" s="1">
        <v>0</v>
      </c>
      <c r="K752" s="1">
        <v>0</v>
      </c>
      <c r="L752" s="2">
        <v>1</v>
      </c>
      <c r="M752" s="2"/>
      <c r="N752" s="2"/>
      <c r="O752" s="2"/>
      <c r="P752" s="2"/>
      <c r="Q752" s="2"/>
      <c r="R752" s="2">
        <v>1</v>
      </c>
      <c r="S752" s="2">
        <v>1</v>
      </c>
      <c r="T752" s="2"/>
      <c r="U752" s="2"/>
      <c r="V752" s="2"/>
      <c r="W752" s="2"/>
      <c r="X752" s="2">
        <v>1</v>
      </c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>
        <v>1</v>
      </c>
      <c r="AX752" s="1"/>
    </row>
    <row r="753" spans="1:50" x14ac:dyDescent="0.4">
      <c r="A753" s="1" t="str">
        <f t="shared" si="39"/>
        <v>天草</v>
      </c>
      <c r="B753" s="1" t="str">
        <f>"特別養護老人ホーム麗洋苑　医務室"</f>
        <v>特別養護老人ホーム麗洋苑　医務室</v>
      </c>
      <c r="C753" s="1" t="str">
        <f>"861-7202"</f>
        <v>861-7202</v>
      </c>
      <c r="D753" s="1" t="s">
        <v>866</v>
      </c>
      <c r="E753" s="1" t="str">
        <f>"0969530477    "</f>
        <v xml:space="preserve">0969530477    </v>
      </c>
      <c r="F753" s="1" t="str">
        <f>"社会福祉法人　暁興会"</f>
        <v>社会福祉法人　暁興会</v>
      </c>
      <c r="G753" s="1" t="str">
        <f>"S56.04.25"</f>
        <v>S56.04.25</v>
      </c>
      <c r="H753" s="1" t="str">
        <f t="shared" si="38"/>
        <v>開設中</v>
      </c>
      <c r="I753" s="1">
        <v>0</v>
      </c>
      <c r="J753" s="1">
        <v>0</v>
      </c>
      <c r="K753" s="1">
        <v>0</v>
      </c>
      <c r="L753" s="2">
        <v>1</v>
      </c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>
        <v>1</v>
      </c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1"/>
    </row>
    <row r="754" spans="1:50" x14ac:dyDescent="0.4">
      <c r="A754" s="1" t="str">
        <f t="shared" si="39"/>
        <v>天草</v>
      </c>
      <c r="B754" s="1" t="str">
        <f>"特別養護老人ホーム御所浦苑　医務室"</f>
        <v>特別養護老人ホーム御所浦苑　医務室</v>
      </c>
      <c r="C754" s="1" t="str">
        <f>"866-0313"</f>
        <v>866-0313</v>
      </c>
      <c r="D754" s="1" t="s">
        <v>867</v>
      </c>
      <c r="E754" s="1" t="str">
        <f>"0969523727    "</f>
        <v xml:space="preserve">0969523727    </v>
      </c>
      <c r="F754" s="1" t="str">
        <f>"社会福祉法人　天水会"</f>
        <v>社会福祉法人　天水会</v>
      </c>
      <c r="G754" s="1" t="str">
        <f>"H11.06.01"</f>
        <v>H11.06.01</v>
      </c>
      <c r="H754" s="1" t="str">
        <f t="shared" si="38"/>
        <v>開設中</v>
      </c>
      <c r="I754" s="1">
        <v>0</v>
      </c>
      <c r="J754" s="1">
        <v>0</v>
      </c>
      <c r="K754" s="1">
        <v>0</v>
      </c>
      <c r="L754" s="2">
        <v>1</v>
      </c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1"/>
    </row>
    <row r="755" spans="1:50" x14ac:dyDescent="0.4">
      <c r="A755" s="1" t="str">
        <f t="shared" si="39"/>
        <v>天草</v>
      </c>
      <c r="B755" s="1" t="str">
        <f>"くらたけ小松医院"</f>
        <v>くらたけ小松医院</v>
      </c>
      <c r="C755" s="1" t="str">
        <f>"861-6403"</f>
        <v>861-6403</v>
      </c>
      <c r="D755" s="1" t="s">
        <v>868</v>
      </c>
      <c r="E755" s="1" t="str">
        <f>"0969643737    "</f>
        <v xml:space="preserve">0969643737    </v>
      </c>
      <c r="F755" s="1" t="str">
        <f>"医療法人　小松会"</f>
        <v>医療法人　小松会</v>
      </c>
      <c r="G755" s="1" t="str">
        <f>"H03.07.01"</f>
        <v>H03.07.01</v>
      </c>
      <c r="H755" s="1" t="str">
        <f t="shared" si="38"/>
        <v>開設中</v>
      </c>
      <c r="I755" s="1">
        <v>0</v>
      </c>
      <c r="J755" s="1">
        <v>0</v>
      </c>
      <c r="K755" s="1">
        <v>0</v>
      </c>
      <c r="L755" s="2">
        <v>1</v>
      </c>
      <c r="M755" s="2"/>
      <c r="N755" s="2"/>
      <c r="O755" s="2"/>
      <c r="P755" s="2"/>
      <c r="Q755" s="2">
        <v>1</v>
      </c>
      <c r="R755" s="2"/>
      <c r="S755" s="2"/>
      <c r="T755" s="2"/>
      <c r="U755" s="2"/>
      <c r="V755" s="2"/>
      <c r="W755" s="2">
        <v>1</v>
      </c>
      <c r="X755" s="2"/>
      <c r="Y755" s="2">
        <v>1</v>
      </c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1"/>
    </row>
    <row r="756" spans="1:50" x14ac:dyDescent="0.4">
      <c r="A756" s="1" t="str">
        <f t="shared" si="39"/>
        <v>天草</v>
      </c>
      <c r="B756" s="1" t="str">
        <f>"特別養護老人ホーム愛愛園　医務室"</f>
        <v>特別養護老人ホーム愛愛園　医務室</v>
      </c>
      <c r="C756" s="1" t="str">
        <f>"861-6402"</f>
        <v>861-6402</v>
      </c>
      <c r="D756" s="1" t="s">
        <v>869</v>
      </c>
      <c r="E756" s="1" t="str">
        <f>"0969643366    "</f>
        <v xml:space="preserve">0969643366    </v>
      </c>
      <c r="F756" s="1" t="str">
        <f>"社会福祉法人　積愛会"</f>
        <v>社会福祉法人　積愛会</v>
      </c>
      <c r="G756" s="1" t="str">
        <f>"H06.12.01"</f>
        <v>H06.12.01</v>
      </c>
      <c r="H756" s="1" t="str">
        <f t="shared" si="38"/>
        <v>開設中</v>
      </c>
      <c r="I756" s="1">
        <v>0</v>
      </c>
      <c r="J756" s="1">
        <v>0</v>
      </c>
      <c r="K756" s="1">
        <v>0</v>
      </c>
      <c r="L756" s="2">
        <v>1</v>
      </c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1"/>
    </row>
    <row r="757" spans="1:50" x14ac:dyDescent="0.4">
      <c r="A757" s="1" t="str">
        <f t="shared" si="39"/>
        <v>天草</v>
      </c>
      <c r="B757" s="1" t="str">
        <f>"特別養護老人ホーム梅寿荘"</f>
        <v>特別養護老人ホーム梅寿荘</v>
      </c>
      <c r="C757" s="1" t="str">
        <f>"861-6305"</f>
        <v>861-6305</v>
      </c>
      <c r="D757" s="1" t="s">
        <v>870</v>
      </c>
      <c r="E757" s="1" t="str">
        <f>"0969662221    "</f>
        <v xml:space="preserve">0969662221    </v>
      </c>
      <c r="F757" s="1" t="str">
        <f>"社会福祉法人　上天草会"</f>
        <v>社会福祉法人　上天草会</v>
      </c>
      <c r="G757" s="1" t="str">
        <f>"S63.04.01"</f>
        <v>S63.04.01</v>
      </c>
      <c r="H757" s="1" t="str">
        <f t="shared" si="38"/>
        <v>開設中</v>
      </c>
      <c r="I757" s="1">
        <v>0</v>
      </c>
      <c r="J757" s="1">
        <v>0</v>
      </c>
      <c r="K757" s="1">
        <v>0</v>
      </c>
      <c r="L757" s="2">
        <v>1</v>
      </c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1"/>
    </row>
    <row r="758" spans="1:50" x14ac:dyDescent="0.4">
      <c r="A758" s="1" t="str">
        <f t="shared" si="39"/>
        <v>天草</v>
      </c>
      <c r="B758" s="1" t="str">
        <f>"本原内科小児科医院"</f>
        <v>本原内科小児科医院</v>
      </c>
      <c r="C758" s="1" t="str">
        <f>"861-6305"</f>
        <v>861-6305</v>
      </c>
      <c r="D758" s="1" t="s">
        <v>871</v>
      </c>
      <c r="E758" s="1" t="str">
        <f>"0969662010    "</f>
        <v xml:space="preserve">0969662010    </v>
      </c>
      <c r="F758" s="1" t="str">
        <f>"医療法人　聖藍会"</f>
        <v>医療法人　聖藍会</v>
      </c>
      <c r="G758" s="1" t="str">
        <f>"H03.09.18"</f>
        <v>H03.09.18</v>
      </c>
      <c r="H758" s="1" t="str">
        <f t="shared" si="38"/>
        <v>開設中</v>
      </c>
      <c r="I758" s="1">
        <v>0</v>
      </c>
      <c r="J758" s="1">
        <v>0</v>
      </c>
      <c r="K758" s="1">
        <v>0</v>
      </c>
      <c r="L758" s="2">
        <v>1</v>
      </c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>
        <v>1</v>
      </c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1"/>
    </row>
    <row r="759" spans="1:50" x14ac:dyDescent="0.4">
      <c r="A759" s="1" t="str">
        <f t="shared" si="39"/>
        <v>天草</v>
      </c>
      <c r="B759" s="1" t="str">
        <f>"特別養護老人ホーム新和苑"</f>
        <v>特別養護老人ホーム新和苑</v>
      </c>
      <c r="C759" s="1" t="str">
        <f>"863-0101"</f>
        <v>863-0101</v>
      </c>
      <c r="D759" s="1" t="s">
        <v>872</v>
      </c>
      <c r="E759" s="1" t="str">
        <f>"0969463838    "</f>
        <v xml:space="preserve">0969463838    </v>
      </c>
      <c r="F759" s="1" t="str">
        <f>"社会医福法人　緑新会"</f>
        <v>社会医福法人　緑新会</v>
      </c>
      <c r="G759" s="1" t="str">
        <f>"H06.04.01"</f>
        <v>H06.04.01</v>
      </c>
      <c r="H759" s="1" t="str">
        <f t="shared" si="38"/>
        <v>開設中</v>
      </c>
      <c r="I759" s="1">
        <v>0</v>
      </c>
      <c r="J759" s="1">
        <v>0</v>
      </c>
      <c r="K759" s="1">
        <v>0</v>
      </c>
      <c r="L759" s="2">
        <v>1</v>
      </c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>
        <v>1</v>
      </c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1"/>
    </row>
    <row r="760" spans="1:50" x14ac:dyDescent="0.4">
      <c r="A760" s="1" t="str">
        <f t="shared" si="39"/>
        <v>天草</v>
      </c>
      <c r="B760" s="1" t="str">
        <f>"市丸医院"</f>
        <v>市丸医院</v>
      </c>
      <c r="C760" s="1" t="str">
        <f>"863-2114"</f>
        <v>863-2114</v>
      </c>
      <c r="D760" s="1" t="s">
        <v>873</v>
      </c>
      <c r="E760" s="1" t="str">
        <f>"0969340036    "</f>
        <v xml:space="preserve">0969340036    </v>
      </c>
      <c r="F760" s="1" t="str">
        <f>"医療法人　市寿会"</f>
        <v>医療法人　市寿会</v>
      </c>
      <c r="G760" s="1" t="str">
        <f>"H10.07.01"</f>
        <v>H10.07.01</v>
      </c>
      <c r="H760" s="1" t="str">
        <f t="shared" si="38"/>
        <v>開設中</v>
      </c>
      <c r="I760" s="1">
        <v>0</v>
      </c>
      <c r="J760" s="1">
        <v>0</v>
      </c>
      <c r="K760" s="1">
        <v>0</v>
      </c>
      <c r="L760" s="2">
        <v>1</v>
      </c>
      <c r="M760" s="2"/>
      <c r="N760" s="2"/>
      <c r="O760" s="2"/>
      <c r="P760" s="2"/>
      <c r="Q760" s="2"/>
      <c r="R760" s="2"/>
      <c r="S760" s="2">
        <v>1</v>
      </c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1"/>
    </row>
    <row r="761" spans="1:50" x14ac:dyDescent="0.4">
      <c r="A761" s="1" t="str">
        <f t="shared" si="39"/>
        <v>天草</v>
      </c>
      <c r="B761" s="1" t="str">
        <f>"紫明寮診療所"</f>
        <v>紫明寮診療所</v>
      </c>
      <c r="C761" s="1" t="str">
        <f>"863-2421"</f>
        <v>863-2421</v>
      </c>
      <c r="D761" s="1" t="s">
        <v>874</v>
      </c>
      <c r="E761" s="1" t="str">
        <f>"0969330021    "</f>
        <v xml:space="preserve">0969330021    </v>
      </c>
      <c r="F761" s="1" t="str">
        <f>"社会福祉法人　清志会"</f>
        <v>社会福祉法人　清志会</v>
      </c>
      <c r="G761" s="1" t="str">
        <f>"S45.12.01"</f>
        <v>S45.12.01</v>
      </c>
      <c r="H761" s="1" t="str">
        <f t="shared" si="38"/>
        <v>開設中</v>
      </c>
      <c r="I761" s="1">
        <v>0</v>
      </c>
      <c r="J761" s="1">
        <v>0</v>
      </c>
      <c r="K761" s="1">
        <v>0</v>
      </c>
      <c r="L761" s="2">
        <v>1</v>
      </c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1"/>
    </row>
    <row r="762" spans="1:50" x14ac:dyDescent="0.4">
      <c r="A762" s="1" t="str">
        <f t="shared" si="39"/>
        <v>天草</v>
      </c>
      <c r="B762" s="1" t="str">
        <f>"猪口医院"</f>
        <v>猪口医院</v>
      </c>
      <c r="C762" s="1" t="str">
        <f>"863-2501"</f>
        <v>863-2501</v>
      </c>
      <c r="D762" s="1" t="s">
        <v>875</v>
      </c>
      <c r="E762" s="1" t="str">
        <f>"0969370001    "</f>
        <v xml:space="preserve">0969370001    </v>
      </c>
      <c r="F762" s="1" t="str">
        <f>"猪口　成美"</f>
        <v>猪口　成美</v>
      </c>
      <c r="G762" s="1" t="str">
        <f>"H12.03.19"</f>
        <v>H12.03.19</v>
      </c>
      <c r="H762" s="1" t="str">
        <f t="shared" si="38"/>
        <v>開設中</v>
      </c>
      <c r="I762" s="1">
        <v>0</v>
      </c>
      <c r="J762" s="1">
        <v>0</v>
      </c>
      <c r="K762" s="1">
        <v>0</v>
      </c>
      <c r="L762" s="2">
        <v>1</v>
      </c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>
        <v>1</v>
      </c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1"/>
    </row>
    <row r="763" spans="1:50" x14ac:dyDescent="0.4">
      <c r="A763" s="1" t="str">
        <f t="shared" si="39"/>
        <v>天草</v>
      </c>
      <c r="B763" s="1" t="str">
        <f>"楽洋診療所"</f>
        <v>楽洋診療所</v>
      </c>
      <c r="C763" s="1" t="str">
        <f>"863-2502"</f>
        <v>863-2502</v>
      </c>
      <c r="D763" s="1" t="s">
        <v>876</v>
      </c>
      <c r="E763" s="1" t="str">
        <f>"0969370202    "</f>
        <v xml:space="preserve">0969370202    </v>
      </c>
      <c r="F763" s="1" t="str">
        <f>"社会福祉法人　慈正会"</f>
        <v>社会福祉法人　慈正会</v>
      </c>
      <c r="G763" s="1" t="str">
        <f>"H11.09.13"</f>
        <v>H11.09.13</v>
      </c>
      <c r="H763" s="1" t="str">
        <f t="shared" si="38"/>
        <v>開設中</v>
      </c>
      <c r="I763" s="1">
        <v>0</v>
      </c>
      <c r="J763" s="1">
        <v>0</v>
      </c>
      <c r="K763" s="1">
        <v>0</v>
      </c>
      <c r="L763" s="2">
        <v>1</v>
      </c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1"/>
    </row>
    <row r="764" spans="1:50" x14ac:dyDescent="0.4">
      <c r="A764" s="1" t="str">
        <f t="shared" si="39"/>
        <v>天草</v>
      </c>
      <c r="B764" s="1" t="str">
        <f>"天草整肢園・苓龍苑診療所"</f>
        <v>天草整肢園・苓龍苑診療所</v>
      </c>
      <c r="C764" s="1" t="str">
        <f>"863-2502"</f>
        <v>863-2502</v>
      </c>
      <c r="D764" s="1" t="s">
        <v>877</v>
      </c>
      <c r="E764" s="1" t="str">
        <f>"0969351671    "</f>
        <v xml:space="preserve">0969351671    </v>
      </c>
      <c r="F764" s="1" t="str">
        <f>"社会福祉法人　啓仁会"</f>
        <v>社会福祉法人　啓仁会</v>
      </c>
      <c r="G764" s="1" t="str">
        <f>"H10.10.01"</f>
        <v>H10.10.01</v>
      </c>
      <c r="H764" s="1" t="str">
        <f t="shared" si="38"/>
        <v>開設中</v>
      </c>
      <c r="I764" s="1">
        <v>0</v>
      </c>
      <c r="J764" s="1">
        <v>0</v>
      </c>
      <c r="K764" s="1">
        <v>0</v>
      </c>
      <c r="L764" s="2">
        <v>1</v>
      </c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>
        <v>1</v>
      </c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1"/>
    </row>
    <row r="765" spans="1:50" x14ac:dyDescent="0.4">
      <c r="A765" s="1" t="str">
        <f t="shared" si="39"/>
        <v>天草</v>
      </c>
      <c r="B765" s="1" t="str">
        <f>"特別養護老人ホーム春光苑"</f>
        <v>特別養護老人ホーム春光苑</v>
      </c>
      <c r="C765" s="1" t="str">
        <f>"863-2805"</f>
        <v>863-2805</v>
      </c>
      <c r="D765" s="1" t="s">
        <v>878</v>
      </c>
      <c r="E765" s="1" t="str">
        <f>"0969420646    "</f>
        <v xml:space="preserve">0969420646    </v>
      </c>
      <c r="F765" s="1" t="str">
        <f>"社会福祉法人　愛隣会"</f>
        <v>社会福祉法人　愛隣会</v>
      </c>
      <c r="G765" s="1" t="str">
        <f>"S59.04.01"</f>
        <v>S59.04.01</v>
      </c>
      <c r="H765" s="1" t="str">
        <f t="shared" si="38"/>
        <v>開設中</v>
      </c>
      <c r="I765" s="1">
        <v>0</v>
      </c>
      <c r="J765" s="1">
        <v>0</v>
      </c>
      <c r="K765" s="1">
        <v>0</v>
      </c>
      <c r="L765" s="2">
        <v>1</v>
      </c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1"/>
    </row>
    <row r="766" spans="1:50" x14ac:dyDescent="0.4">
      <c r="A766" s="1" t="str">
        <f t="shared" si="39"/>
        <v>天草</v>
      </c>
      <c r="B766" s="1" t="str">
        <f>"生田医院"</f>
        <v>生田医院</v>
      </c>
      <c r="C766" s="1" t="str">
        <f>"863-1212"</f>
        <v>863-1212</v>
      </c>
      <c r="D766" s="1" t="s">
        <v>879</v>
      </c>
      <c r="E766" s="1" t="str">
        <f>"0969780331    "</f>
        <v xml:space="preserve">0969780331    </v>
      </c>
      <c r="F766" s="1" t="str">
        <f>"生田　翔"</f>
        <v>生田　翔</v>
      </c>
      <c r="G766" s="1" t="str">
        <f>"S62.03.24"</f>
        <v>S62.03.24</v>
      </c>
      <c r="H766" s="1" t="str">
        <f t="shared" si="38"/>
        <v>開設中</v>
      </c>
      <c r="I766" s="1">
        <v>0</v>
      </c>
      <c r="J766" s="1">
        <v>0</v>
      </c>
      <c r="K766" s="1">
        <v>0</v>
      </c>
      <c r="L766" s="2">
        <v>1</v>
      </c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>
        <v>1</v>
      </c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>
        <v>1</v>
      </c>
      <c r="AR766" s="2"/>
      <c r="AS766" s="2"/>
      <c r="AT766" s="2"/>
      <c r="AU766" s="2"/>
      <c r="AV766" s="2"/>
      <c r="AW766" s="2"/>
      <c r="AX766" s="1" t="s">
        <v>62</v>
      </c>
    </row>
    <row r="767" spans="1:50" x14ac:dyDescent="0.4">
      <c r="A767" s="1" t="str">
        <f t="shared" si="39"/>
        <v>天草</v>
      </c>
      <c r="B767" s="1" t="str">
        <f>"救護施設天草園診療所"</f>
        <v>救護施設天草園診療所</v>
      </c>
      <c r="C767" s="1" t="str">
        <f>"863-1212"</f>
        <v>863-1212</v>
      </c>
      <c r="D767" s="1" t="s">
        <v>880</v>
      </c>
      <c r="E767" s="1" t="str">
        <f>"0969780053    "</f>
        <v xml:space="preserve">0969780053    </v>
      </c>
      <c r="F767" s="1" t="str">
        <f>"社会福祉法人　博愛会"</f>
        <v>社会福祉法人　博愛会</v>
      </c>
      <c r="G767" s="1" t="str">
        <f>"H07.04.13"</f>
        <v>H07.04.13</v>
      </c>
      <c r="H767" s="1" t="str">
        <f t="shared" si="38"/>
        <v>開設中</v>
      </c>
      <c r="I767" s="1">
        <v>0</v>
      </c>
      <c r="J767" s="1">
        <v>0</v>
      </c>
      <c r="K767" s="1">
        <v>0</v>
      </c>
      <c r="L767" s="2">
        <v>1</v>
      </c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>
        <v>1</v>
      </c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1"/>
    </row>
    <row r="768" spans="1:50" x14ac:dyDescent="0.4">
      <c r="A768" s="1" t="str">
        <f t="shared" si="39"/>
        <v>天草</v>
      </c>
      <c r="B768" s="1" t="str">
        <f>"特別養護老人ホーム実相園　医務室"</f>
        <v>特別養護老人ホーム実相園　医務室</v>
      </c>
      <c r="C768" s="1" t="str">
        <f>"863-1202"</f>
        <v>863-1202</v>
      </c>
      <c r="D768" s="1" t="s">
        <v>881</v>
      </c>
      <c r="E768" s="1" t="str">
        <f>"0969760355    "</f>
        <v xml:space="preserve">0969760355    </v>
      </c>
      <c r="F768" s="1" t="str">
        <f>"社会福祉法人　相愛会"</f>
        <v>社会福祉法人　相愛会</v>
      </c>
      <c r="G768" s="1" t="str">
        <f>"S51.04.09"</f>
        <v>S51.04.09</v>
      </c>
      <c r="H768" s="1" t="str">
        <f t="shared" si="38"/>
        <v>開設中</v>
      </c>
      <c r="I768" s="1">
        <v>0</v>
      </c>
      <c r="J768" s="1">
        <v>0</v>
      </c>
      <c r="K768" s="1">
        <v>0</v>
      </c>
      <c r="L768" s="2">
        <v>1</v>
      </c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1"/>
    </row>
    <row r="769" spans="1:50" x14ac:dyDescent="0.4">
      <c r="A769" s="1" t="str">
        <f t="shared" si="39"/>
        <v>天草</v>
      </c>
      <c r="B769" s="1" t="str">
        <f>"野田医院"</f>
        <v>野田医院</v>
      </c>
      <c r="C769" s="1" t="str">
        <f>"863-1202"</f>
        <v>863-1202</v>
      </c>
      <c r="D769" s="1" t="s">
        <v>882</v>
      </c>
      <c r="E769" s="1" t="str">
        <f>"0969760067    "</f>
        <v xml:space="preserve">0969760067    </v>
      </c>
      <c r="F769" s="1" t="str">
        <f>"医療法人社団　野田会"</f>
        <v>医療法人社団　野田会</v>
      </c>
      <c r="G769" s="1" t="str">
        <f>"H13.06.18"</f>
        <v>H13.06.18</v>
      </c>
      <c r="H769" s="1" t="str">
        <f t="shared" si="38"/>
        <v>開設中</v>
      </c>
      <c r="I769" s="1">
        <v>0</v>
      </c>
      <c r="J769" s="1">
        <v>0</v>
      </c>
      <c r="K769" s="1">
        <v>0</v>
      </c>
      <c r="L769" s="2">
        <v>1</v>
      </c>
      <c r="M769" s="2"/>
      <c r="N769" s="2"/>
      <c r="O769" s="2">
        <v>1</v>
      </c>
      <c r="P769" s="2"/>
      <c r="Q769" s="2"/>
      <c r="R769" s="2"/>
      <c r="S769" s="2"/>
      <c r="T769" s="2"/>
      <c r="U769" s="2"/>
      <c r="V769" s="2"/>
      <c r="W769" s="2">
        <v>1</v>
      </c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1"/>
    </row>
    <row r="770" spans="1:50" x14ac:dyDescent="0.4">
      <c r="A770" s="1" t="str">
        <f t="shared" si="39"/>
        <v>天草</v>
      </c>
      <c r="B770" s="1" t="str">
        <f>"松本医院"</f>
        <v>松本医院</v>
      </c>
      <c r="C770" s="1" t="str">
        <f>"863-1202"</f>
        <v>863-1202</v>
      </c>
      <c r="D770" s="1" t="s">
        <v>883</v>
      </c>
      <c r="E770" s="1" t="str">
        <f>"0969760039    "</f>
        <v xml:space="preserve">0969760039    </v>
      </c>
      <c r="F770" s="1" t="str">
        <f>"医療法人　松本会"</f>
        <v>医療法人　松本会</v>
      </c>
      <c r="G770" s="1" t="str">
        <f>"H13.04.01"</f>
        <v>H13.04.01</v>
      </c>
      <c r="H770" s="1" t="str">
        <f t="shared" si="38"/>
        <v>開設中</v>
      </c>
      <c r="I770" s="1">
        <v>19</v>
      </c>
      <c r="J770" s="1">
        <v>19</v>
      </c>
      <c r="K770" s="1">
        <v>0</v>
      </c>
      <c r="L770" s="2">
        <v>1</v>
      </c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>
        <v>1</v>
      </c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1"/>
    </row>
    <row r="771" spans="1:50" x14ac:dyDescent="0.4">
      <c r="A771" s="1" t="str">
        <f t="shared" si="39"/>
        <v>天草</v>
      </c>
      <c r="B771" s="1" t="str">
        <f>"荘田医院"</f>
        <v>荘田医院</v>
      </c>
      <c r="C771" s="1" t="str">
        <f>"863-0038"</f>
        <v>863-0038</v>
      </c>
      <c r="D771" s="1" t="s">
        <v>884</v>
      </c>
      <c r="E771" s="1" t="str">
        <f>"0969222497    "</f>
        <v xml:space="preserve">0969222497    </v>
      </c>
      <c r="F771" s="1" t="str">
        <f>"医療法人　ひじり"</f>
        <v>医療法人　ひじり</v>
      </c>
      <c r="G771" s="1" t="str">
        <f>"H17.08.01"</f>
        <v>H17.08.01</v>
      </c>
      <c r="H771" s="1" t="str">
        <f t="shared" si="38"/>
        <v>開設中</v>
      </c>
      <c r="I771" s="1">
        <v>0</v>
      </c>
      <c r="J771" s="1">
        <v>0</v>
      </c>
      <c r="K771" s="1">
        <v>0</v>
      </c>
      <c r="L771" s="2">
        <v>1</v>
      </c>
      <c r="M771" s="2"/>
      <c r="N771" s="2"/>
      <c r="O771" s="2"/>
      <c r="P771" s="2"/>
      <c r="Q771" s="2">
        <v>1</v>
      </c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1"/>
    </row>
    <row r="772" spans="1:50" x14ac:dyDescent="0.4">
      <c r="A772" s="1" t="str">
        <f t="shared" si="39"/>
        <v>天草</v>
      </c>
      <c r="B772" s="1" t="str">
        <f>"楽洋クリニック"</f>
        <v>楽洋クリニック</v>
      </c>
      <c r="C772" s="1" t="str">
        <f>"863-2421"</f>
        <v>863-2421</v>
      </c>
      <c r="D772" s="1" t="s">
        <v>885</v>
      </c>
      <c r="E772" s="1" t="str">
        <f>"0969332020    "</f>
        <v xml:space="preserve">0969332020    </v>
      </c>
      <c r="F772" s="1" t="str">
        <f>"渡邉　一夫"</f>
        <v>渡邉　一夫</v>
      </c>
      <c r="G772" s="1" t="str">
        <f>"H17.09.14"</f>
        <v>H17.09.14</v>
      </c>
      <c r="H772" s="1" t="str">
        <f t="shared" si="38"/>
        <v>開設中</v>
      </c>
      <c r="I772" s="1">
        <v>0</v>
      </c>
      <c r="J772" s="1">
        <v>0</v>
      </c>
      <c r="K772" s="1">
        <v>0</v>
      </c>
      <c r="L772" s="2">
        <v>1</v>
      </c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>
        <v>1</v>
      </c>
      <c r="AJ772" s="2">
        <v>1</v>
      </c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1"/>
    </row>
    <row r="773" spans="1:50" x14ac:dyDescent="0.4">
      <c r="A773" s="1" t="str">
        <f t="shared" ref="A773:A806" si="40">"天草"</f>
        <v>天草</v>
      </c>
      <c r="B773" s="1" t="str">
        <f>"国民健康保険天草市立御所浦北診療所"</f>
        <v>国民健康保険天草市立御所浦北診療所</v>
      </c>
      <c r="C773" s="1" t="str">
        <f>"866-0303"</f>
        <v>866-0303</v>
      </c>
      <c r="D773" s="1" t="s">
        <v>886</v>
      </c>
      <c r="E773" s="1" t="str">
        <f>"0969672162    "</f>
        <v xml:space="preserve">0969672162    </v>
      </c>
      <c r="F773" s="1" t="str">
        <f>"天草市"</f>
        <v>天草市</v>
      </c>
      <c r="G773" s="1" t="str">
        <f>"H18.03.27"</f>
        <v>H18.03.27</v>
      </c>
      <c r="H773" s="1" t="str">
        <f t="shared" si="38"/>
        <v>開設中</v>
      </c>
      <c r="I773" s="1">
        <v>0</v>
      </c>
      <c r="J773" s="1">
        <v>0</v>
      </c>
      <c r="K773" s="1">
        <v>0</v>
      </c>
      <c r="L773" s="2">
        <v>1</v>
      </c>
      <c r="M773" s="2"/>
      <c r="N773" s="2">
        <v>1</v>
      </c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1"/>
    </row>
    <row r="774" spans="1:50" x14ac:dyDescent="0.4">
      <c r="A774" s="1" t="str">
        <f t="shared" si="40"/>
        <v>天草</v>
      </c>
      <c r="B774" s="1" t="str">
        <f>"松風園　医務室"</f>
        <v>松風園　医務室</v>
      </c>
      <c r="C774" s="1" t="str">
        <f>"863-0001"</f>
        <v>863-0001</v>
      </c>
      <c r="D774" s="1" t="s">
        <v>887</v>
      </c>
      <c r="E774" s="1" t="str">
        <f>"0969222593    "</f>
        <v xml:space="preserve">0969222593    </v>
      </c>
      <c r="F774" s="1" t="str">
        <f>"社会福祉法人　北斗会"</f>
        <v>社会福祉法人　北斗会</v>
      </c>
      <c r="G774" s="1" t="str">
        <f>"H17.04.01"</f>
        <v>H17.04.01</v>
      </c>
      <c r="H774" s="1" t="str">
        <f t="shared" si="38"/>
        <v>開設中</v>
      </c>
      <c r="I774" s="1">
        <v>0</v>
      </c>
      <c r="J774" s="1">
        <v>0</v>
      </c>
      <c r="K774" s="1">
        <v>0</v>
      </c>
      <c r="L774" s="2">
        <v>1</v>
      </c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1"/>
    </row>
    <row r="775" spans="1:50" x14ac:dyDescent="0.4">
      <c r="A775" s="1" t="str">
        <f t="shared" si="40"/>
        <v>天草</v>
      </c>
      <c r="B775" s="1" t="str">
        <f>"佐藤クリニック"</f>
        <v>佐藤クリニック</v>
      </c>
      <c r="C775" s="1" t="str">
        <f>"863-1901"</f>
        <v>863-1901</v>
      </c>
      <c r="D775" s="1" t="s">
        <v>888</v>
      </c>
      <c r="E775" s="1" t="str">
        <f>"0969733155    "</f>
        <v xml:space="preserve">0969733155    </v>
      </c>
      <c r="F775" s="1" t="str">
        <f>"佐藤　哲紀"</f>
        <v>佐藤　哲紀</v>
      </c>
      <c r="G775" s="1" t="str">
        <f>"H22.01.01"</f>
        <v>H22.01.01</v>
      </c>
      <c r="H775" s="1" t="str">
        <f t="shared" si="38"/>
        <v>開設中</v>
      </c>
      <c r="I775" s="1">
        <v>0</v>
      </c>
      <c r="J775" s="1">
        <v>0</v>
      </c>
      <c r="K775" s="1">
        <v>0</v>
      </c>
      <c r="L775" s="2">
        <v>1</v>
      </c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>
        <v>1</v>
      </c>
      <c r="Y775" s="2">
        <v>1</v>
      </c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1"/>
    </row>
    <row r="776" spans="1:50" x14ac:dyDescent="0.4">
      <c r="A776" s="1" t="str">
        <f t="shared" si="40"/>
        <v>天草</v>
      </c>
      <c r="B776" s="1" t="str">
        <f>"永芳医院"</f>
        <v>永芳医院</v>
      </c>
      <c r="C776" s="1" t="str">
        <f>"863-0022"</f>
        <v>863-0022</v>
      </c>
      <c r="D776" s="1" t="s">
        <v>889</v>
      </c>
      <c r="E776" s="1" t="str">
        <f>"0969231166    "</f>
        <v xml:space="preserve">0969231166    </v>
      </c>
      <c r="F776" s="1" t="str">
        <f>"医療法人社団　永芳会"</f>
        <v>医療法人社団　永芳会</v>
      </c>
      <c r="G776" s="1" t="str">
        <f>"H22.08.16"</f>
        <v>H22.08.16</v>
      </c>
      <c r="H776" s="1" t="str">
        <f t="shared" si="38"/>
        <v>開設中</v>
      </c>
      <c r="I776" s="1">
        <v>18</v>
      </c>
      <c r="J776" s="1">
        <v>18</v>
      </c>
      <c r="K776" s="1">
        <v>0</v>
      </c>
      <c r="L776" s="2">
        <v>1</v>
      </c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>
        <v>1</v>
      </c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>
        <v>1</v>
      </c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1"/>
    </row>
    <row r="777" spans="1:50" x14ac:dyDescent="0.4">
      <c r="A777" s="1" t="str">
        <f t="shared" si="40"/>
        <v>天草</v>
      </c>
      <c r="B777" s="1" t="str">
        <f>"吉田クリニック"</f>
        <v>吉田クリニック</v>
      </c>
      <c r="C777" s="1" t="str">
        <f>"869-3603"</f>
        <v>869-3603</v>
      </c>
      <c r="D777" s="1" t="s">
        <v>890</v>
      </c>
      <c r="E777" s="1" t="str">
        <f>"0964570246    "</f>
        <v xml:space="preserve">0964570246    </v>
      </c>
      <c r="F777" s="1" t="str">
        <f>"吉田　理"</f>
        <v>吉田　理</v>
      </c>
      <c r="G777" s="1" t="str">
        <f>"H22.08.05"</f>
        <v>H22.08.05</v>
      </c>
      <c r="H777" s="1" t="str">
        <f t="shared" si="38"/>
        <v>開設中</v>
      </c>
      <c r="I777" s="1">
        <v>0</v>
      </c>
      <c r="J777" s="1">
        <v>0</v>
      </c>
      <c r="K777" s="1">
        <v>0</v>
      </c>
      <c r="L777" s="2">
        <v>1</v>
      </c>
      <c r="M777" s="2"/>
      <c r="N777" s="2"/>
      <c r="O777" s="2"/>
      <c r="P777" s="2">
        <v>1</v>
      </c>
      <c r="Q777" s="2">
        <v>1</v>
      </c>
      <c r="R777" s="2"/>
      <c r="S777" s="2">
        <v>1</v>
      </c>
      <c r="T777" s="2">
        <v>1</v>
      </c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>
        <v>1</v>
      </c>
      <c r="AR777" s="2"/>
      <c r="AS777" s="2"/>
      <c r="AT777" s="2"/>
      <c r="AU777" s="2"/>
      <c r="AV777" s="2"/>
      <c r="AW777" s="2"/>
      <c r="AX777" s="1"/>
    </row>
    <row r="778" spans="1:50" x14ac:dyDescent="0.4">
      <c r="A778" s="1" t="str">
        <f t="shared" si="40"/>
        <v>天草</v>
      </c>
      <c r="B778" s="1" t="str">
        <f>"中村こども・内科クリニック"</f>
        <v>中村こども・内科クリニック</v>
      </c>
      <c r="C778" s="1" t="str">
        <f>"863-2421"</f>
        <v>863-2421</v>
      </c>
      <c r="D778" s="1" t="s">
        <v>891</v>
      </c>
      <c r="E778" s="1" t="str">
        <f>"0969330144    "</f>
        <v xml:space="preserve">0969330144    </v>
      </c>
      <c r="F778" s="1" t="str">
        <f>"医療法人　扶桑会"</f>
        <v>医療法人　扶桑会</v>
      </c>
      <c r="G778" s="1" t="str">
        <f>"H22.12.01"</f>
        <v>H22.12.01</v>
      </c>
      <c r="H778" s="1" t="str">
        <f t="shared" si="38"/>
        <v>開設中</v>
      </c>
      <c r="I778" s="1">
        <v>19</v>
      </c>
      <c r="J778" s="1">
        <v>19</v>
      </c>
      <c r="K778" s="1">
        <v>0</v>
      </c>
      <c r="L778" s="2">
        <v>1</v>
      </c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>
        <v>1</v>
      </c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1"/>
    </row>
    <row r="779" spans="1:50" x14ac:dyDescent="0.4">
      <c r="A779" s="1" t="str">
        <f t="shared" si="40"/>
        <v>天草</v>
      </c>
      <c r="B779" s="1" t="str">
        <f>"十万山クリニック"</f>
        <v>十万山クリニック</v>
      </c>
      <c r="C779" s="1" t="str">
        <f>"863-0001"</f>
        <v>863-0001</v>
      </c>
      <c r="D779" s="1" t="s">
        <v>892</v>
      </c>
      <c r="E779" s="1" t="str">
        <f>"0969247700    "</f>
        <v xml:space="preserve">0969247700    </v>
      </c>
      <c r="F779" s="1" t="str">
        <f>"医療法人　扶桑会"</f>
        <v>医療法人　扶桑会</v>
      </c>
      <c r="G779" s="1" t="str">
        <f>"H22.12.01"</f>
        <v>H22.12.01</v>
      </c>
      <c r="H779" s="1" t="str">
        <f t="shared" si="38"/>
        <v>開設中</v>
      </c>
      <c r="I779" s="1">
        <v>0</v>
      </c>
      <c r="J779" s="1">
        <v>0</v>
      </c>
      <c r="K779" s="1">
        <v>0</v>
      </c>
      <c r="L779" s="2">
        <v>1</v>
      </c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>
        <v>1</v>
      </c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1"/>
    </row>
    <row r="780" spans="1:50" x14ac:dyDescent="0.4">
      <c r="A780" s="1" t="str">
        <f t="shared" si="40"/>
        <v>天草</v>
      </c>
      <c r="B780" s="1" t="str">
        <f>"地域密着型介護老人福祉施設　梧葉苑"</f>
        <v>地域密着型介護老人福祉施設　梧葉苑</v>
      </c>
      <c r="C780" s="1" t="str">
        <f>"863-2502"</f>
        <v>863-2502</v>
      </c>
      <c r="D780" s="1" t="s">
        <v>893</v>
      </c>
      <c r="E780" s="1" t="str">
        <f>"0969371005    "</f>
        <v xml:space="preserve">0969371005    </v>
      </c>
      <c r="F780" s="1" t="str">
        <f>"社会福祉法人　慈永会"</f>
        <v>社会福祉法人　慈永会</v>
      </c>
      <c r="G780" s="1" t="str">
        <f>"H23.11.09"</f>
        <v>H23.11.09</v>
      </c>
      <c r="H780" s="1" t="str">
        <f t="shared" si="38"/>
        <v>開設中</v>
      </c>
      <c r="I780" s="1">
        <v>0</v>
      </c>
      <c r="J780" s="1">
        <v>0</v>
      </c>
      <c r="K780" s="1">
        <v>0</v>
      </c>
      <c r="L780" s="2">
        <v>1</v>
      </c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1"/>
    </row>
    <row r="781" spans="1:50" x14ac:dyDescent="0.4">
      <c r="A781" s="1" t="str">
        <f t="shared" si="40"/>
        <v>天草</v>
      </c>
      <c r="B781" s="1" t="str">
        <f>"医療法人　葦原会　葦原医院"</f>
        <v>医療法人　葦原会　葦原医院</v>
      </c>
      <c r="C781" s="1" t="str">
        <f>"863-0012"</f>
        <v>863-0012</v>
      </c>
      <c r="D781" s="1" t="s">
        <v>894</v>
      </c>
      <c r="E781" s="1" t="str">
        <f>"0969234988    "</f>
        <v xml:space="preserve">0969234988    </v>
      </c>
      <c r="F781" s="1" t="str">
        <f>"医療法人　葦原会"</f>
        <v>医療法人　葦原会</v>
      </c>
      <c r="G781" s="1" t="str">
        <f>"H24.05.28"</f>
        <v>H24.05.28</v>
      </c>
      <c r="H781" s="1" t="str">
        <f t="shared" si="38"/>
        <v>開設中</v>
      </c>
      <c r="I781" s="1">
        <v>0</v>
      </c>
      <c r="J781" s="1">
        <v>0</v>
      </c>
      <c r="K781" s="1">
        <v>0</v>
      </c>
      <c r="L781" s="2">
        <v>1</v>
      </c>
      <c r="M781" s="2"/>
      <c r="N781" s="2"/>
      <c r="O781" s="2"/>
      <c r="P781" s="2"/>
      <c r="Q781" s="2">
        <v>1</v>
      </c>
      <c r="R781" s="2">
        <v>1</v>
      </c>
      <c r="S781" s="2"/>
      <c r="T781" s="2">
        <v>1</v>
      </c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1"/>
    </row>
    <row r="782" spans="1:50" x14ac:dyDescent="0.4">
      <c r="A782" s="1" t="str">
        <f t="shared" si="40"/>
        <v>天草</v>
      </c>
      <c r="B782" s="1" t="str">
        <f>"こくまい耳鼻咽喉科アレルギー科クリニック"</f>
        <v>こくまい耳鼻咽喉科アレルギー科クリニック</v>
      </c>
      <c r="C782" s="1" t="str">
        <f>"863-0048"</f>
        <v>863-0048</v>
      </c>
      <c r="D782" s="1" t="s">
        <v>895</v>
      </c>
      <c r="E782" s="1" t="str">
        <f>"0969241133    "</f>
        <v xml:space="preserve">0969241133    </v>
      </c>
      <c r="F782" s="1" t="str">
        <f>"医療法人　寛栄会"</f>
        <v>医療法人　寛栄会</v>
      </c>
      <c r="G782" s="1" t="str">
        <f>"H25.10.01"</f>
        <v>H25.10.01</v>
      </c>
      <c r="H782" s="1" t="str">
        <f t="shared" si="38"/>
        <v>開設中</v>
      </c>
      <c r="I782" s="1">
        <v>0</v>
      </c>
      <c r="J782" s="1">
        <v>0</v>
      </c>
      <c r="K782" s="1">
        <v>0</v>
      </c>
      <c r="L782" s="2"/>
      <c r="M782" s="2"/>
      <c r="N782" s="2"/>
      <c r="O782" s="2"/>
      <c r="P782" s="2"/>
      <c r="Q782" s="2"/>
      <c r="R782" s="2"/>
      <c r="S782" s="2"/>
      <c r="T782" s="2"/>
      <c r="U782" s="2">
        <v>1</v>
      </c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>
        <v>1</v>
      </c>
      <c r="AP782" s="2"/>
      <c r="AQ782" s="2"/>
      <c r="AR782" s="2"/>
      <c r="AS782" s="2"/>
      <c r="AT782" s="2"/>
      <c r="AU782" s="2"/>
      <c r="AV782" s="2"/>
      <c r="AW782" s="2"/>
      <c r="AX782" s="1"/>
    </row>
    <row r="783" spans="1:50" x14ac:dyDescent="0.4">
      <c r="A783" s="1" t="str">
        <f t="shared" si="40"/>
        <v>天草</v>
      </c>
      <c r="B783" s="1" t="str">
        <f>"特別養護老人ホーム　悠ほーむ　医務室"</f>
        <v>特別養護老人ホーム　悠ほーむ　医務室</v>
      </c>
      <c r="C783" s="1" t="str">
        <f>"863-1902"</f>
        <v>863-1902</v>
      </c>
      <c r="D783" s="1" t="s">
        <v>896</v>
      </c>
      <c r="E783" s="1" t="str">
        <f>"0969747001    "</f>
        <v xml:space="preserve">0969747001    </v>
      </c>
      <c r="F783" s="1" t="str">
        <f>"社会福祉法人　円相会"</f>
        <v>社会福祉法人　円相会</v>
      </c>
      <c r="G783" s="1" t="str">
        <f>"H25.11.01"</f>
        <v>H25.11.01</v>
      </c>
      <c r="H783" s="1" t="str">
        <f t="shared" si="38"/>
        <v>開設中</v>
      </c>
      <c r="I783" s="1">
        <v>0</v>
      </c>
      <c r="J783" s="1">
        <v>0</v>
      </c>
      <c r="K783" s="1">
        <v>0</v>
      </c>
      <c r="L783" s="2">
        <v>1</v>
      </c>
      <c r="M783" s="2"/>
      <c r="N783" s="2"/>
      <c r="O783" s="2"/>
      <c r="P783" s="2"/>
      <c r="Q783" s="2"/>
      <c r="R783" s="2"/>
      <c r="S783" s="2"/>
      <c r="T783" s="2">
        <v>1</v>
      </c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1"/>
    </row>
    <row r="784" spans="1:50" x14ac:dyDescent="0.4">
      <c r="A784" s="1" t="str">
        <f t="shared" si="40"/>
        <v>天草</v>
      </c>
      <c r="B784" s="1" t="str">
        <f>"地域密着型特別養護老人ホーム聖和園　医務室"</f>
        <v>地域密着型特別養護老人ホーム聖和園　医務室</v>
      </c>
      <c r="C784" s="1" t="str">
        <f>"861-6551"</f>
        <v>861-6551</v>
      </c>
      <c r="D784" s="1" t="s">
        <v>897</v>
      </c>
      <c r="E784" s="1" t="str">
        <f>"0969220213    "</f>
        <v xml:space="preserve">0969220213    </v>
      </c>
      <c r="F784" s="1" t="str">
        <f>"社会福祉法人　聖和会"</f>
        <v>社会福祉法人　聖和会</v>
      </c>
      <c r="G784" s="1" t="str">
        <f>"H25.11.20"</f>
        <v>H25.11.20</v>
      </c>
      <c r="H784" s="1" t="str">
        <f t="shared" si="38"/>
        <v>開設中</v>
      </c>
      <c r="I784" s="1">
        <v>0</v>
      </c>
      <c r="J784" s="1">
        <v>0</v>
      </c>
      <c r="K784" s="1">
        <v>0</v>
      </c>
      <c r="L784" s="2">
        <v>1</v>
      </c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1"/>
    </row>
    <row r="785" spans="1:50" x14ac:dyDescent="0.4">
      <c r="A785" s="1" t="str">
        <f t="shared" si="40"/>
        <v>天草</v>
      </c>
      <c r="B785" s="1" t="str">
        <f>"地域密着型特別養護老人ホームシャトー天草　医務室"</f>
        <v>地域密着型特別養護老人ホームシャトー天草　医務室</v>
      </c>
      <c r="C785" s="1" t="str">
        <f>"863-0012"</f>
        <v>863-0012</v>
      </c>
      <c r="D785" s="1" t="s">
        <v>898</v>
      </c>
      <c r="E785" s="1" t="str">
        <f>"0969221888    "</f>
        <v xml:space="preserve">0969221888    </v>
      </c>
      <c r="F785" s="1" t="str">
        <f>"社会福祉法人　淳和会"</f>
        <v>社会福祉法人　淳和会</v>
      </c>
      <c r="G785" s="1" t="str">
        <f>"H26.02.16"</f>
        <v>H26.02.16</v>
      </c>
      <c r="H785" s="1" t="str">
        <f t="shared" si="38"/>
        <v>開設中</v>
      </c>
      <c r="I785" s="1">
        <v>0</v>
      </c>
      <c r="J785" s="1">
        <v>0</v>
      </c>
      <c r="K785" s="1">
        <v>0</v>
      </c>
      <c r="L785" s="2">
        <v>1</v>
      </c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1"/>
    </row>
    <row r="786" spans="1:50" s="7" customFormat="1" x14ac:dyDescent="0.4">
      <c r="A786" s="5" t="str">
        <f>"天草"</f>
        <v>天草</v>
      </c>
      <c r="B786" s="5" t="str">
        <f>"中山内科・循環器内科クリニック"</f>
        <v>中山内科・循環器内科クリニック</v>
      </c>
      <c r="C786" s="5" t="str">
        <f>"863-0032"</f>
        <v>863-0032</v>
      </c>
      <c r="D786" s="5" t="s">
        <v>899</v>
      </c>
      <c r="E786" s="5" t="str">
        <f>"0969251711    "</f>
        <v xml:space="preserve">0969251711    </v>
      </c>
      <c r="F786" s="5" t="s">
        <v>921</v>
      </c>
      <c r="G786" s="5" t="str">
        <f>"H26.11.01"</f>
        <v>H26.11.01</v>
      </c>
      <c r="H786" s="5" t="str">
        <f t="shared" si="38"/>
        <v>開設中</v>
      </c>
      <c r="I786" s="5">
        <v>0</v>
      </c>
      <c r="J786" s="5">
        <v>0</v>
      </c>
      <c r="K786" s="5">
        <v>0</v>
      </c>
      <c r="L786" s="6">
        <v>1</v>
      </c>
      <c r="M786" s="6"/>
      <c r="N786" s="6"/>
      <c r="O786" s="6"/>
      <c r="P786" s="6"/>
      <c r="Q786" s="6"/>
      <c r="R786" s="6"/>
      <c r="S786" s="6"/>
      <c r="T786" s="6">
        <v>1</v>
      </c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5"/>
    </row>
    <row r="787" spans="1:50" x14ac:dyDescent="0.4">
      <c r="A787" s="1" t="str">
        <f t="shared" si="40"/>
        <v>天草</v>
      </c>
      <c r="B787" s="1" t="str">
        <f>"やの眼科"</f>
        <v>やの眼科</v>
      </c>
      <c r="C787" s="1" t="str">
        <f>"863-0046"</f>
        <v>863-0046</v>
      </c>
      <c r="D787" s="1" t="s">
        <v>900</v>
      </c>
      <c r="E787" s="1" t="str">
        <f>"0969247310    "</f>
        <v xml:space="preserve">0969247310    </v>
      </c>
      <c r="F787" s="1" t="str">
        <f>"医療法人　尚仁会"</f>
        <v>医療法人　尚仁会</v>
      </c>
      <c r="G787" s="1" t="str">
        <f>"H27.12.01"</f>
        <v>H27.12.01</v>
      </c>
      <c r="H787" s="1" t="str">
        <f t="shared" si="38"/>
        <v>開設中</v>
      </c>
      <c r="I787" s="1">
        <v>0</v>
      </c>
      <c r="J787" s="1">
        <v>0</v>
      </c>
      <c r="K787" s="1">
        <v>0</v>
      </c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>
        <v>1</v>
      </c>
      <c r="AO787" s="2"/>
      <c r="AP787" s="2"/>
      <c r="AQ787" s="2"/>
      <c r="AR787" s="2"/>
      <c r="AS787" s="2"/>
      <c r="AT787" s="2"/>
      <c r="AU787" s="2"/>
      <c r="AV787" s="2"/>
      <c r="AW787" s="2"/>
      <c r="AX787" s="1"/>
    </row>
    <row r="788" spans="1:50" x14ac:dyDescent="0.4">
      <c r="A788" s="1" t="str">
        <f t="shared" si="40"/>
        <v>天草</v>
      </c>
      <c r="B788" s="1" t="str">
        <f>"上天草内科呼吸器科クリニック"</f>
        <v>上天草内科呼吸器科クリニック</v>
      </c>
      <c r="C788" s="1" t="str">
        <f>"869-3601"</f>
        <v>869-3601</v>
      </c>
      <c r="D788" s="1" t="s">
        <v>901</v>
      </c>
      <c r="E788" s="1" t="str">
        <f>"0964563100    "</f>
        <v xml:space="preserve">0964563100    </v>
      </c>
      <c r="F788" s="1" t="str">
        <f>"医療法人　春優会"</f>
        <v>医療法人　春優会</v>
      </c>
      <c r="G788" s="1" t="str">
        <f>"H28.03.01"</f>
        <v>H28.03.01</v>
      </c>
      <c r="H788" s="1" t="str">
        <f t="shared" si="38"/>
        <v>開設中</v>
      </c>
      <c r="I788" s="1">
        <v>0</v>
      </c>
      <c r="J788" s="1">
        <v>0</v>
      </c>
      <c r="K788" s="1">
        <v>0</v>
      </c>
      <c r="L788" s="2">
        <v>1</v>
      </c>
      <c r="M788" s="2"/>
      <c r="N788" s="2"/>
      <c r="O788" s="2"/>
      <c r="P788" s="2"/>
      <c r="Q788" s="2">
        <v>1</v>
      </c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1"/>
    </row>
    <row r="789" spans="1:50" x14ac:dyDescent="0.4">
      <c r="A789" s="1" t="str">
        <f t="shared" si="40"/>
        <v>天草</v>
      </c>
      <c r="B789" s="1" t="str">
        <f>"養護老人ホーム寿康園　医務室"</f>
        <v>養護老人ホーム寿康園　医務室</v>
      </c>
      <c r="C789" s="1" t="str">
        <f>"863-2502"</f>
        <v>863-2502</v>
      </c>
      <c r="D789" s="1" t="s">
        <v>902</v>
      </c>
      <c r="E789" s="1" t="str">
        <f>"0969350018    "</f>
        <v xml:space="preserve">0969350018    </v>
      </c>
      <c r="F789" s="1" t="str">
        <f>"社会福祉法人　慈永会"</f>
        <v>社会福祉法人　慈永会</v>
      </c>
      <c r="G789" s="1" t="str">
        <f>"H28.05.01"</f>
        <v>H28.05.01</v>
      </c>
      <c r="H789" s="1" t="str">
        <f t="shared" si="38"/>
        <v>開設中</v>
      </c>
      <c r="I789" s="1">
        <v>0</v>
      </c>
      <c r="J789" s="1">
        <v>0</v>
      </c>
      <c r="K789" s="1">
        <v>0</v>
      </c>
      <c r="L789" s="2">
        <v>1</v>
      </c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1"/>
    </row>
    <row r="790" spans="1:50" x14ac:dyDescent="0.4">
      <c r="A790" s="1" t="str">
        <f t="shared" si="40"/>
        <v>天草</v>
      </c>
      <c r="B790" s="1" t="str">
        <f>"わせだ直子レディースクリニック"</f>
        <v>わせだ直子レディースクリニック</v>
      </c>
      <c r="C790" s="1" t="str">
        <f>"863-0021"</f>
        <v>863-0021</v>
      </c>
      <c r="D790" s="1" t="s">
        <v>903</v>
      </c>
      <c r="E790" s="1" t="str">
        <f>"0969248711    "</f>
        <v xml:space="preserve">0969248711    </v>
      </c>
      <c r="F790" s="1" t="str">
        <f>"早稲田　直子"</f>
        <v>早稲田　直子</v>
      </c>
      <c r="G790" s="1" t="str">
        <f>"H28.09.15"</f>
        <v>H28.09.15</v>
      </c>
      <c r="H790" s="1" t="str">
        <f t="shared" si="38"/>
        <v>開設中</v>
      </c>
      <c r="I790" s="1">
        <v>0</v>
      </c>
      <c r="J790" s="1">
        <v>0</v>
      </c>
      <c r="K790" s="1">
        <v>0</v>
      </c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>
        <v>1</v>
      </c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1"/>
    </row>
    <row r="791" spans="1:50" x14ac:dyDescent="0.4">
      <c r="A791" s="1" t="str">
        <f t="shared" si="40"/>
        <v>天草</v>
      </c>
      <c r="B791" s="1" t="str">
        <f>"長野内科小児科医院"</f>
        <v>長野内科小児科医院</v>
      </c>
      <c r="C791" s="1" t="str">
        <f>"863-2201"</f>
        <v>863-2201</v>
      </c>
      <c r="D791" s="1" t="s">
        <v>904</v>
      </c>
      <c r="E791" s="1" t="str">
        <f>"0969322323    "</f>
        <v xml:space="preserve">0969322323    </v>
      </c>
      <c r="F791" s="1" t="str">
        <f>"医療法人　光總会"</f>
        <v>医療法人　光總会</v>
      </c>
      <c r="G791" s="1" t="str">
        <f>"H29.01.01"</f>
        <v>H29.01.01</v>
      </c>
      <c r="H791" s="1" t="str">
        <f t="shared" si="38"/>
        <v>開設中</v>
      </c>
      <c r="I791" s="1">
        <v>0</v>
      </c>
      <c r="J791" s="1">
        <v>0</v>
      </c>
      <c r="K791" s="1">
        <v>0</v>
      </c>
      <c r="L791" s="2">
        <v>1</v>
      </c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>
        <v>1</v>
      </c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1"/>
    </row>
    <row r="792" spans="1:50" x14ac:dyDescent="0.4">
      <c r="A792" s="1" t="str">
        <f t="shared" si="40"/>
        <v>天草</v>
      </c>
      <c r="B792" s="1" t="str">
        <f>"和光園診療所"</f>
        <v>和光園診療所</v>
      </c>
      <c r="C792" s="1" t="str">
        <f>"861-6105"</f>
        <v>861-6105</v>
      </c>
      <c r="D792" s="1" t="s">
        <v>905</v>
      </c>
      <c r="E792" s="1" t="str">
        <f>"0969570005    "</f>
        <v xml:space="preserve">0969570005    </v>
      </c>
      <c r="F792" s="1" t="str">
        <f>"社会福祉法人　一陽会"</f>
        <v>社会福祉法人　一陽会</v>
      </c>
      <c r="G792" s="1" t="str">
        <f>"H29.04.01"</f>
        <v>H29.04.01</v>
      </c>
      <c r="H792" s="1" t="str">
        <f t="shared" si="38"/>
        <v>開設中</v>
      </c>
      <c r="I792" s="1">
        <v>0</v>
      </c>
      <c r="J792" s="1">
        <v>0</v>
      </c>
      <c r="K792" s="1">
        <v>0</v>
      </c>
      <c r="L792" s="2">
        <v>1</v>
      </c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1"/>
    </row>
    <row r="793" spans="1:50" x14ac:dyDescent="0.4">
      <c r="A793" s="1" t="str">
        <f t="shared" si="40"/>
        <v>天草</v>
      </c>
      <c r="B793" s="1" t="str">
        <f>"特別養護老人ホーム葉山苑　天領の杜"</f>
        <v>特別養護老人ホーム葉山苑　天領の杜</v>
      </c>
      <c r="C793" s="1" t="str">
        <f>"863-0006"</f>
        <v>863-0006</v>
      </c>
      <c r="D793" s="1" t="s">
        <v>906</v>
      </c>
      <c r="E793" s="1" t="str">
        <f>"0968714000    "</f>
        <v xml:space="preserve">0968714000    </v>
      </c>
      <c r="F793" s="1" t="str">
        <f>"社会福祉法人　啓世会"</f>
        <v>社会福祉法人　啓世会</v>
      </c>
      <c r="G793" s="1" t="str">
        <f>"H29.04.01"</f>
        <v>H29.04.01</v>
      </c>
      <c r="H793" s="1" t="str">
        <f t="shared" si="38"/>
        <v>開設中</v>
      </c>
      <c r="I793" s="1">
        <v>0</v>
      </c>
      <c r="J793" s="1">
        <v>0</v>
      </c>
      <c r="K793" s="1">
        <v>0</v>
      </c>
      <c r="L793" s="2">
        <v>1</v>
      </c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1"/>
    </row>
    <row r="794" spans="1:50" x14ac:dyDescent="0.4">
      <c r="A794" s="1" t="str">
        <f t="shared" si="40"/>
        <v>天草</v>
      </c>
      <c r="B794" s="1" t="str">
        <f>"小松医院"</f>
        <v>小松医院</v>
      </c>
      <c r="C794" s="1" t="str">
        <f>"863-1901"</f>
        <v>863-1901</v>
      </c>
      <c r="D794" s="1" t="s">
        <v>907</v>
      </c>
      <c r="E794" s="1" t="str">
        <f>"0969726111    "</f>
        <v xml:space="preserve">0969726111    </v>
      </c>
      <c r="F794" s="1" t="str">
        <f>"医療法人社団　創生会"</f>
        <v>医療法人社団　創生会</v>
      </c>
      <c r="G794" s="1" t="str">
        <f>"H29.07.01"</f>
        <v>H29.07.01</v>
      </c>
      <c r="H794" s="1" t="str">
        <f t="shared" si="38"/>
        <v>開設中</v>
      </c>
      <c r="I794" s="1">
        <v>13</v>
      </c>
      <c r="J794" s="1">
        <v>13</v>
      </c>
      <c r="K794" s="1">
        <v>0</v>
      </c>
      <c r="L794" s="2">
        <v>1</v>
      </c>
      <c r="M794" s="2"/>
      <c r="N794" s="2"/>
      <c r="O794" s="2"/>
      <c r="P794" s="2"/>
      <c r="Q794" s="2">
        <v>1</v>
      </c>
      <c r="R794" s="2">
        <v>1</v>
      </c>
      <c r="S794" s="2"/>
      <c r="T794" s="2">
        <v>1</v>
      </c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>
        <v>1</v>
      </c>
      <c r="AR794" s="2"/>
      <c r="AS794" s="2"/>
      <c r="AT794" s="2"/>
      <c r="AU794" s="2"/>
      <c r="AV794" s="2"/>
      <c r="AW794" s="2"/>
      <c r="AX794" s="1"/>
    </row>
    <row r="795" spans="1:50" x14ac:dyDescent="0.4">
      <c r="A795" s="1" t="str">
        <f t="shared" si="40"/>
        <v>天草</v>
      </c>
      <c r="B795" s="1" t="str">
        <f>"尾上医院"</f>
        <v>尾上医院</v>
      </c>
      <c r="C795" s="1" t="str">
        <f>"863-0015"</f>
        <v>863-0015</v>
      </c>
      <c r="D795" s="1" t="s">
        <v>908</v>
      </c>
      <c r="E795" s="1" t="str">
        <f>"0969224433    "</f>
        <v xml:space="preserve">0969224433    </v>
      </c>
      <c r="F795" s="1" t="str">
        <f>"尾上　公浩"</f>
        <v>尾上　公浩</v>
      </c>
      <c r="G795" s="1" t="str">
        <f>"H29.04.01"</f>
        <v>H29.04.01</v>
      </c>
      <c r="H795" s="1" t="str">
        <f t="shared" si="38"/>
        <v>開設中</v>
      </c>
      <c r="I795" s="1">
        <v>0</v>
      </c>
      <c r="J795" s="1">
        <v>0</v>
      </c>
      <c r="K795" s="1">
        <v>0</v>
      </c>
      <c r="L795" s="2">
        <v>1</v>
      </c>
      <c r="M795" s="2"/>
      <c r="N795" s="2"/>
      <c r="O795" s="2"/>
      <c r="P795" s="2"/>
      <c r="Q795" s="2"/>
      <c r="R795" s="2">
        <v>1</v>
      </c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1"/>
    </row>
    <row r="796" spans="1:50" x14ac:dyDescent="0.4">
      <c r="A796" s="1" t="str">
        <f t="shared" si="40"/>
        <v>天草</v>
      </c>
      <c r="B796" s="1" t="str">
        <f>"サザンテラス五和診療所"</f>
        <v>サザンテラス五和診療所</v>
      </c>
      <c r="C796" s="1" t="str">
        <f>"863-2201"</f>
        <v>863-2201</v>
      </c>
      <c r="D796" s="1" t="s">
        <v>909</v>
      </c>
      <c r="E796" s="1" t="str">
        <f>"0969322113    "</f>
        <v xml:space="preserve">0969322113    </v>
      </c>
      <c r="F796" s="1" t="str">
        <f>"社会福祉法人　一陽会"</f>
        <v>社会福祉法人　一陽会</v>
      </c>
      <c r="G796" s="1" t="str">
        <f>"H29.09.01"</f>
        <v>H29.09.01</v>
      </c>
      <c r="H796" s="1" t="str">
        <f t="shared" ref="H796:H806" si="41">"開設中"</f>
        <v>開設中</v>
      </c>
      <c r="I796" s="1">
        <v>0</v>
      </c>
      <c r="J796" s="1">
        <v>0</v>
      </c>
      <c r="K796" s="1">
        <v>0</v>
      </c>
      <c r="L796" s="2">
        <v>1</v>
      </c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1"/>
    </row>
    <row r="797" spans="1:50" x14ac:dyDescent="0.4">
      <c r="A797" s="1" t="str">
        <f t="shared" si="40"/>
        <v>天草</v>
      </c>
      <c r="B797" s="1" t="str">
        <f>"三宅皮ふ科クリニック"</f>
        <v>三宅皮ふ科クリニック</v>
      </c>
      <c r="C797" s="1" t="str">
        <f>"863-0047"</f>
        <v>863-0047</v>
      </c>
      <c r="D797" s="1" t="s">
        <v>910</v>
      </c>
      <c r="E797" s="1" t="str">
        <f>"0969669331    "</f>
        <v xml:space="preserve">0969669331    </v>
      </c>
      <c r="F797" s="1" t="str">
        <f>"医療法人　三宅皮ふ科クリニック"</f>
        <v>医療法人　三宅皮ふ科クリニック</v>
      </c>
      <c r="G797" s="1" t="str">
        <f>"H30.04.01"</f>
        <v>H30.04.01</v>
      </c>
      <c r="H797" s="1" t="str">
        <f t="shared" si="41"/>
        <v>開設中</v>
      </c>
      <c r="I797" s="1">
        <v>0</v>
      </c>
      <c r="J797" s="1">
        <v>0</v>
      </c>
      <c r="K797" s="1">
        <v>0</v>
      </c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>
        <v>1</v>
      </c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1"/>
    </row>
    <row r="798" spans="1:50" x14ac:dyDescent="0.4">
      <c r="A798" s="1" t="str">
        <f t="shared" si="40"/>
        <v>天草</v>
      </c>
      <c r="B798" s="1" t="str">
        <f>"グランビュー有明診療所"</f>
        <v>グランビュー有明診療所</v>
      </c>
      <c r="C798" s="1" t="str">
        <f>"861-7313"</f>
        <v>861-7313</v>
      </c>
      <c r="D798" s="1" t="s">
        <v>911</v>
      </c>
      <c r="E798" s="1" t="str">
        <f>"0969527111    "</f>
        <v xml:space="preserve">0969527111    </v>
      </c>
      <c r="F798" s="1" t="str">
        <f>"社会福祉法人　一陽会"</f>
        <v>社会福祉法人　一陽会</v>
      </c>
      <c r="G798" s="1" t="str">
        <f>"R03.03.01"</f>
        <v>R03.03.01</v>
      </c>
      <c r="H798" s="1" t="str">
        <f t="shared" si="41"/>
        <v>開設中</v>
      </c>
      <c r="I798" s="1">
        <v>0</v>
      </c>
      <c r="J798" s="1">
        <v>0</v>
      </c>
      <c r="K798" s="1">
        <v>0</v>
      </c>
      <c r="L798" s="2">
        <v>1</v>
      </c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1"/>
    </row>
    <row r="799" spans="1:50" x14ac:dyDescent="0.4">
      <c r="A799" s="1" t="str">
        <f t="shared" si="40"/>
        <v>天草</v>
      </c>
      <c r="B799" s="1" t="str">
        <f>"天草総合内科・内視鏡クリニック"</f>
        <v>天草総合内科・内視鏡クリニック</v>
      </c>
      <c r="C799" s="1" t="str">
        <f>"863-0043"</f>
        <v>863-0043</v>
      </c>
      <c r="D799" s="1" t="s">
        <v>912</v>
      </c>
      <c r="E799" s="1" t="str">
        <f>"0969221155    "</f>
        <v xml:space="preserve">0969221155    </v>
      </c>
      <c r="F799" s="1" t="str">
        <f>"医療法人　孝隆会"</f>
        <v>医療法人　孝隆会</v>
      </c>
      <c r="G799" s="1" t="str">
        <f>"R03.08.01"</f>
        <v>R03.08.01</v>
      </c>
      <c r="H799" s="1" t="str">
        <f t="shared" si="41"/>
        <v>開設中</v>
      </c>
      <c r="I799" s="1">
        <v>0</v>
      </c>
      <c r="J799" s="1">
        <v>0</v>
      </c>
      <c r="K799" s="1">
        <v>0</v>
      </c>
      <c r="L799" s="2">
        <v>1</v>
      </c>
      <c r="M799" s="2"/>
      <c r="N799" s="2"/>
      <c r="O799" s="2"/>
      <c r="P799" s="2"/>
      <c r="Q799" s="2"/>
      <c r="R799" s="2">
        <v>1</v>
      </c>
      <c r="S799" s="2">
        <v>1</v>
      </c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1"/>
    </row>
    <row r="800" spans="1:50" x14ac:dyDescent="0.4">
      <c r="A800" s="1" t="str">
        <f t="shared" si="40"/>
        <v>天草</v>
      </c>
      <c r="B800" s="1" t="str">
        <f>"国民健康保険天草市立御所浦診療所"</f>
        <v>国民健康保険天草市立御所浦診療所</v>
      </c>
      <c r="C800" s="1" t="str">
        <f>"866-0313"</f>
        <v>866-0313</v>
      </c>
      <c r="D800" s="1" t="s">
        <v>913</v>
      </c>
      <c r="E800" s="1" t="str">
        <f>"0969672007    "</f>
        <v xml:space="preserve">0969672007    </v>
      </c>
      <c r="F800" s="1" t="str">
        <f>"天草市"</f>
        <v>天草市</v>
      </c>
      <c r="G800" s="1" t="str">
        <f>"R04.01.01"</f>
        <v>R04.01.01</v>
      </c>
      <c r="H800" s="1" t="str">
        <f t="shared" si="41"/>
        <v>開設中</v>
      </c>
      <c r="I800" s="1">
        <v>0</v>
      </c>
      <c r="J800" s="1">
        <v>0</v>
      </c>
      <c r="K800" s="1">
        <v>0</v>
      </c>
      <c r="L800" s="2">
        <v>1</v>
      </c>
      <c r="M800" s="2"/>
      <c r="N800" s="2">
        <v>1</v>
      </c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>
        <v>1</v>
      </c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>
        <v>1</v>
      </c>
      <c r="AO800" s="2"/>
      <c r="AP800" s="2"/>
      <c r="AQ800" s="2"/>
      <c r="AR800" s="2"/>
      <c r="AS800" s="2">
        <v>1</v>
      </c>
      <c r="AT800" s="2"/>
      <c r="AU800" s="2"/>
      <c r="AV800" s="2"/>
      <c r="AW800" s="2"/>
      <c r="AX800" s="1"/>
    </row>
    <row r="801" spans="1:50" x14ac:dyDescent="0.4">
      <c r="A801" s="1" t="str">
        <f t="shared" si="40"/>
        <v>天草</v>
      </c>
      <c r="B801" s="1" t="str">
        <f>"在宅とつながるクリニック天草"</f>
        <v>在宅とつながるクリニック天草</v>
      </c>
      <c r="C801" s="1" t="str">
        <f>"863-1161"</f>
        <v>863-1161</v>
      </c>
      <c r="D801" s="1" t="s">
        <v>914</v>
      </c>
      <c r="E801" s="1" t="str">
        <f>"0969280515    "</f>
        <v xml:space="preserve">0969280515    </v>
      </c>
      <c r="F801" s="1" t="str">
        <f>"医療法人社団かえる会"</f>
        <v>医療法人社団かえる会</v>
      </c>
      <c r="G801" s="1" t="str">
        <f>"R05.06.01"</f>
        <v>R05.06.01</v>
      </c>
      <c r="H801" s="1" t="str">
        <f t="shared" si="41"/>
        <v>開設中</v>
      </c>
      <c r="I801" s="1">
        <v>0</v>
      </c>
      <c r="J801" s="1">
        <v>0</v>
      </c>
      <c r="K801" s="1">
        <v>0</v>
      </c>
      <c r="L801" s="2">
        <v>1</v>
      </c>
      <c r="M801" s="2">
        <v>1</v>
      </c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1"/>
    </row>
    <row r="802" spans="1:50" x14ac:dyDescent="0.4">
      <c r="A802" s="1" t="str">
        <f t="shared" si="40"/>
        <v>天草</v>
      </c>
      <c r="B802" s="1" t="str">
        <f>"本渡クリニック"</f>
        <v>本渡クリニック</v>
      </c>
      <c r="C802" s="1" t="str">
        <f>"863-0043"</f>
        <v>863-0043</v>
      </c>
      <c r="D802" s="1" t="s">
        <v>915</v>
      </c>
      <c r="E802" s="1" t="str">
        <f>"0969338800    "</f>
        <v xml:space="preserve">0969338800    </v>
      </c>
      <c r="F802" s="1" t="str">
        <f>"德永　愼介"</f>
        <v>德永　愼介</v>
      </c>
      <c r="G802" s="1" t="str">
        <f>"R05.08.03"</f>
        <v>R05.08.03</v>
      </c>
      <c r="H802" s="1" t="str">
        <f t="shared" si="41"/>
        <v>開設中</v>
      </c>
      <c r="I802" s="1">
        <v>0</v>
      </c>
      <c r="J802" s="1">
        <v>0</v>
      </c>
      <c r="K802" s="1">
        <v>0</v>
      </c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>
        <v>1</v>
      </c>
      <c r="AA802" s="2"/>
      <c r="AB802" s="2"/>
      <c r="AC802" s="2"/>
      <c r="AD802" s="2"/>
      <c r="AE802" s="2"/>
      <c r="AF802" s="2"/>
      <c r="AG802" s="2"/>
      <c r="AH802" s="2"/>
      <c r="AI802" s="2">
        <v>1</v>
      </c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1"/>
    </row>
    <row r="803" spans="1:50" x14ac:dyDescent="0.4">
      <c r="A803" s="1" t="str">
        <f t="shared" si="40"/>
        <v>天草</v>
      </c>
      <c r="B803" s="1" t="str">
        <f>"あまくさ乳腺クリニック"</f>
        <v>あまくさ乳腺クリニック</v>
      </c>
      <c r="C803" s="1" t="str">
        <f>"863-0047"</f>
        <v>863-0047</v>
      </c>
      <c r="D803" s="1" t="s">
        <v>916</v>
      </c>
      <c r="E803" s="1" t="str">
        <f>"0969231102    "</f>
        <v xml:space="preserve">0969231102    </v>
      </c>
      <c r="F803" s="1" t="str">
        <f>"稲尾　瞳子"</f>
        <v>稲尾　瞳子</v>
      </c>
      <c r="G803" s="1" t="str">
        <f>"R05.09.11"</f>
        <v>R05.09.11</v>
      </c>
      <c r="H803" s="1" t="str">
        <f t="shared" si="41"/>
        <v>開設中</v>
      </c>
      <c r="I803" s="1">
        <v>0</v>
      </c>
      <c r="J803" s="1">
        <v>0</v>
      </c>
      <c r="K803" s="1">
        <v>0</v>
      </c>
      <c r="L803" s="2">
        <v>1</v>
      </c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1"/>
    </row>
    <row r="804" spans="1:50" x14ac:dyDescent="0.4">
      <c r="A804" s="1" t="str">
        <f t="shared" si="40"/>
        <v>天草</v>
      </c>
      <c r="B804" s="1" t="str">
        <f>"まえかわ整形外科"</f>
        <v>まえかわ整形外科</v>
      </c>
      <c r="C804" s="1" t="str">
        <f>"863-0033"</f>
        <v>863-0033</v>
      </c>
      <c r="D804" s="1" t="s">
        <v>917</v>
      </c>
      <c r="E804" s="1" t="str">
        <f>"0969325225    "</f>
        <v xml:space="preserve">0969325225    </v>
      </c>
      <c r="F804" s="1" t="str">
        <f>"医療法人まえかわ整形外科"</f>
        <v>医療法人まえかわ整形外科</v>
      </c>
      <c r="G804" s="1" t="str">
        <f>"R05.10.01"</f>
        <v>R05.10.01</v>
      </c>
      <c r="H804" s="1" t="str">
        <f t="shared" si="41"/>
        <v>開設中</v>
      </c>
      <c r="I804" s="1">
        <v>0</v>
      </c>
      <c r="J804" s="1">
        <v>0</v>
      </c>
      <c r="K804" s="1">
        <v>0</v>
      </c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>
        <v>1</v>
      </c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>
        <v>1</v>
      </c>
      <c r="AR804" s="2"/>
      <c r="AS804" s="2"/>
      <c r="AT804" s="2"/>
      <c r="AU804" s="2"/>
      <c r="AV804" s="2"/>
      <c r="AW804" s="2"/>
      <c r="AX804" s="1"/>
    </row>
    <row r="805" spans="1:50" x14ac:dyDescent="0.4">
      <c r="A805" s="1" t="str">
        <f t="shared" si="40"/>
        <v>天草</v>
      </c>
      <c r="B805" s="1" t="str">
        <f>"上天草整形外科専門クリニック"</f>
        <v>上天草整形外科専門クリニック</v>
      </c>
      <c r="C805" s="1" t="str">
        <f>"869-3603"</f>
        <v>869-3603</v>
      </c>
      <c r="D805" s="1" t="s">
        <v>918</v>
      </c>
      <c r="E805" s="1" t="str">
        <f>"0665710030    "</f>
        <v xml:space="preserve">0665710030    </v>
      </c>
      <c r="F805" s="1" t="str">
        <f>"医療法人　龍神堂会"</f>
        <v>医療法人　龍神堂会</v>
      </c>
      <c r="G805" s="1" t="str">
        <f>"R06.06.19"</f>
        <v>R06.06.19</v>
      </c>
      <c r="H805" s="1" t="str">
        <f t="shared" si="41"/>
        <v>開設中</v>
      </c>
      <c r="I805" s="1">
        <v>0</v>
      </c>
      <c r="J805" s="1">
        <v>0</v>
      </c>
      <c r="K805" s="1">
        <v>0</v>
      </c>
      <c r="L805" s="2">
        <v>1</v>
      </c>
      <c r="M805" s="2"/>
      <c r="N805" s="2"/>
      <c r="O805" s="2"/>
      <c r="P805" s="2"/>
      <c r="Q805" s="2"/>
      <c r="R805" s="2"/>
      <c r="S805" s="2"/>
      <c r="T805" s="2"/>
      <c r="U805" s="2"/>
      <c r="V805" s="2">
        <v>1</v>
      </c>
      <c r="W805" s="2">
        <v>1</v>
      </c>
      <c r="X805" s="2">
        <v>1</v>
      </c>
      <c r="Y805" s="2">
        <v>1</v>
      </c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>
        <v>1</v>
      </c>
      <c r="AR805" s="2">
        <v>1</v>
      </c>
      <c r="AS805" s="2"/>
      <c r="AT805" s="2"/>
      <c r="AU805" s="2"/>
      <c r="AV805" s="2"/>
      <c r="AW805" s="2"/>
      <c r="AX805" s="1"/>
    </row>
    <row r="806" spans="1:50" x14ac:dyDescent="0.4">
      <c r="A806" s="1" t="str">
        <f t="shared" si="40"/>
        <v>天草</v>
      </c>
      <c r="B806" s="1" t="str">
        <f>"苓北クリニック"</f>
        <v>苓北クリニック</v>
      </c>
      <c r="C806" s="1" t="str">
        <f>"863-2507"</f>
        <v>863-2507</v>
      </c>
      <c r="D806" s="1" t="s">
        <v>919</v>
      </c>
      <c r="E806" s="1" t="str">
        <f>"0969351119    "</f>
        <v xml:space="preserve">0969351119    </v>
      </c>
      <c r="F806" s="1" t="str">
        <f>"医療法人　一陽会"</f>
        <v>医療法人　一陽会</v>
      </c>
      <c r="G806" s="1" t="str">
        <f>"R07.04.01"</f>
        <v>R07.04.01</v>
      </c>
      <c r="H806" s="1" t="str">
        <f t="shared" si="41"/>
        <v>開設中</v>
      </c>
      <c r="I806" s="1">
        <v>0</v>
      </c>
      <c r="J806" s="1">
        <v>0</v>
      </c>
      <c r="K806" s="1">
        <v>0</v>
      </c>
      <c r="L806" s="2">
        <v>1</v>
      </c>
      <c r="M806" s="2">
        <v>1</v>
      </c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>
        <v>1</v>
      </c>
      <c r="Y806" s="2">
        <v>1</v>
      </c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>
        <v>1</v>
      </c>
      <c r="AR806" s="2"/>
      <c r="AS806" s="2"/>
      <c r="AT806" s="2"/>
      <c r="AU806" s="2"/>
      <c r="AV806" s="2"/>
      <c r="AW806" s="2"/>
      <c r="AX806" s="1"/>
    </row>
  </sheetData>
  <autoFilter ref="A3:AX806">
    <sortState ref="A280:BD520">
      <sortCondition sortBy="cellColor" ref="A3:A806" dxfId="0"/>
    </sortState>
  </autoFilter>
  <mergeCells count="49">
    <mergeCell ref="AT2:AT3"/>
    <mergeCell ref="AU2:AU3"/>
    <mergeCell ref="AV2:AV3"/>
    <mergeCell ref="AW2:AW3"/>
    <mergeCell ref="AX2:AX3"/>
    <mergeCell ref="AS2:AS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U2:U3"/>
    <mergeCell ref="G2:G3"/>
    <mergeCell ref="I2:I3"/>
    <mergeCell ref="L2:L3"/>
    <mergeCell ref="M2:M3"/>
    <mergeCell ref="N2:N3"/>
    <mergeCell ref="O2:O3"/>
    <mergeCell ref="J2:K2"/>
    <mergeCell ref="P2:P3"/>
    <mergeCell ref="Q2:Q3"/>
    <mergeCell ref="R2:R3"/>
    <mergeCell ref="S2:S3"/>
    <mergeCell ref="T2:T3"/>
    <mergeCell ref="E2:E3"/>
    <mergeCell ref="F2:F3"/>
    <mergeCell ref="H2:H3"/>
    <mergeCell ref="A2:A3"/>
    <mergeCell ref="B2:B3"/>
    <mergeCell ref="C2:C3"/>
    <mergeCell ref="D2:D3"/>
  </mergeCells>
  <phoneticPr fontId="18"/>
  <pageMargins left="0.7" right="0.7" top="0.75" bottom="0.75" header="0.3" footer="0.3"/>
  <pageSetup paperSize="9" orientation="portrait" r:id="rId1"/>
  <ignoredErrors>
    <ignoredError sqref="C10:C11 C49:C278 C280:C8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2025-05-07T06:03:48Z</dcterms:created>
  <dcterms:modified xsi:type="dcterms:W3CDTF">2025-06-23T00:46:23Z</dcterms:modified>
</cp:coreProperties>
</file>