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9900266\Desktop\CAD\"/>
    </mc:Choice>
  </mc:AlternateContent>
  <bookViews>
    <workbookView xWindow="-120" yWindow="-120" windowWidth="29040" windowHeight="15720" activeTab="2"/>
  </bookViews>
  <sheets>
    <sheet name="表計算ツール入力例" sheetId="20" r:id="rId1"/>
    <sheet name="表計算ツール（平屋建て）" sheetId="16" r:id="rId2"/>
    <sheet name="表計算ツール（2階建て）" sheetId="10" r:id="rId3"/>
    <sheet name="更新履歴" sheetId="17" r:id="rId4"/>
    <sheet name="柱の圧縮基準強度" sheetId="14" state="hidden" r:id="rId5"/>
    <sheet name="表計算ツールの解説・注意事項" sheetId="13" r:id="rId6"/>
  </sheets>
  <definedNames>
    <definedName name="JASA種構造用単板積層材">柱の圧縮基準強度!$M$2</definedName>
    <definedName name="JAS機械等級区分構造用製材">柱の圧縮基準強度!$I$2:$I$11</definedName>
    <definedName name="JAS同一等級構成集成材">柱の圧縮基準強度!$L$2</definedName>
    <definedName name="JAS目視等級区分構造用製材">柱の圧縮基準強度!$J$2:$J$11</definedName>
    <definedName name="LVL">柱の圧縮基準強度!$M$29:$M$61</definedName>
    <definedName name="_xlnm.Print_Area" localSheetId="2">'表計算ツール（2階建て）'!$A$1:$O$83</definedName>
    <definedName name="_xlnm.Print_Area" localSheetId="1">'表計算ツール（平屋建て）'!$A$1:$P$70</definedName>
    <definedName name="_xlnm.Print_Area" localSheetId="5">表計算ツールの解説・注意事項!$A$1:$J$266</definedName>
    <definedName name="_xlnm.Print_Area" localSheetId="0">表計算ツール入力例!$A$1:$P$87</definedName>
    <definedName name="機械">柱の圧縮基準強度!$I$29:$I$34</definedName>
    <definedName name="集成材">柱の圧縮基準強度!$L$29:$L$61</definedName>
    <definedName name="無等級">柱の圧縮基準強度!$K$29</definedName>
    <definedName name="無等級材">柱の圧縮基準強度!$K$2:$K$26</definedName>
    <definedName name="目視">柱の圧縮基準強度!$J$29:$J$31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20" l="1"/>
  <c r="I5" i="16"/>
  <c r="L60" i="10"/>
  <c r="L59" i="10"/>
  <c r="L58" i="10"/>
  <c r="L54" i="10"/>
  <c r="L55" i="10"/>
  <c r="L56" i="10"/>
  <c r="X54" i="10"/>
  <c r="X53" i="10"/>
  <c r="X52" i="10"/>
  <c r="I5" i="10"/>
  <c r="T4" i="10" l="1"/>
  <c r="V39" i="16"/>
  <c r="L17" i="16"/>
  <c r="L20" i="16"/>
  <c r="L23" i="16"/>
  <c r="D42" i="16"/>
  <c r="E42" i="16"/>
  <c r="L51" i="16"/>
  <c r="L52" i="16"/>
  <c r="L53" i="16"/>
  <c r="N54" i="16"/>
  <c r="I64" i="16"/>
  <c r="I65" i="16"/>
  <c r="J66" i="16"/>
  <c r="K66" i="16"/>
  <c r="L66" i="16"/>
  <c r="N66" i="16"/>
  <c r="I67" i="16"/>
  <c r="I68" i="16"/>
  <c r="J69" i="16"/>
  <c r="K69" i="16"/>
  <c r="L69" i="16"/>
  <c r="N69" i="16"/>
  <c r="Y7" i="10" l="1"/>
  <c r="T26" i="10" s="1"/>
  <c r="X83" i="20"/>
  <c r="X82" i="20"/>
  <c r="X80" i="20"/>
  <c r="X79" i="20"/>
  <c r="X77" i="20"/>
  <c r="X76" i="20"/>
  <c r="X74" i="20"/>
  <c r="X73" i="20"/>
  <c r="W71" i="20"/>
  <c r="W84" i="20" s="1"/>
  <c r="N82" i="20" s="1"/>
  <c r="V71" i="20"/>
  <c r="U71" i="20"/>
  <c r="T71" i="20"/>
  <c r="W68" i="20"/>
  <c r="W69" i="20" s="1"/>
  <c r="W70" i="20" s="1"/>
  <c r="V68" i="20"/>
  <c r="V69" i="20" s="1"/>
  <c r="V70" i="20" s="1"/>
  <c r="U68" i="20"/>
  <c r="U69" i="20" s="1"/>
  <c r="U70" i="20" s="1"/>
  <c r="T68" i="20"/>
  <c r="T69" i="20" s="1"/>
  <c r="T70" i="20" s="1"/>
  <c r="W67" i="20"/>
  <c r="W74" i="20" s="1"/>
  <c r="N72" i="20" s="1"/>
  <c r="V67" i="20"/>
  <c r="U67" i="20"/>
  <c r="T67" i="20"/>
  <c r="W64" i="20"/>
  <c r="W65" i="20" s="1"/>
  <c r="W66" i="20" s="1"/>
  <c r="V64" i="20"/>
  <c r="V65" i="20" s="1"/>
  <c r="V66" i="20" s="1"/>
  <c r="U64" i="20"/>
  <c r="U65" i="20" s="1"/>
  <c r="U66" i="20" s="1"/>
  <c r="T64" i="20"/>
  <c r="T65" i="20" s="1"/>
  <c r="T66" i="20" s="1"/>
  <c r="X60" i="20"/>
  <c r="X59" i="20"/>
  <c r="X58" i="20"/>
  <c r="X56" i="20"/>
  <c r="X55" i="20"/>
  <c r="X54" i="20"/>
  <c r="X46" i="20"/>
  <c r="X45" i="20"/>
  <c r="Y42" i="20"/>
  <c r="X42" i="20"/>
  <c r="T46" i="20" s="1"/>
  <c r="W42" i="20"/>
  <c r="Y41" i="20"/>
  <c r="X41" i="20"/>
  <c r="T45" i="20" s="1"/>
  <c r="V30" i="20"/>
  <c r="V28" i="20"/>
  <c r="U42" i="20" s="1"/>
  <c r="L25" i="20"/>
  <c r="Y23" i="20"/>
  <c r="X23" i="20"/>
  <c r="L22" i="20"/>
  <c r="T22" i="20"/>
  <c r="Y22" i="20" s="1"/>
  <c r="Y21" i="20"/>
  <c r="X21" i="20"/>
  <c r="Y20" i="20"/>
  <c r="X20" i="20"/>
  <c r="L19" i="20"/>
  <c r="Y19" i="20"/>
  <c r="X19" i="20"/>
  <c r="Y18" i="20"/>
  <c r="X18" i="20"/>
  <c r="Y17" i="20"/>
  <c r="X17" i="20"/>
  <c r="Y16" i="20"/>
  <c r="X16" i="20"/>
  <c r="T11" i="20"/>
  <c r="Y9" i="20"/>
  <c r="T30" i="20" s="1"/>
  <c r="T4" i="20"/>
  <c r="V31" i="20" l="1"/>
  <c r="V42" i="20" s="1"/>
  <c r="V29" i="20"/>
  <c r="V33" i="20" s="1"/>
  <c r="T30" i="10"/>
  <c r="W45" i="20"/>
  <c r="T28" i="20"/>
  <c r="W56" i="20"/>
  <c r="W75" i="20"/>
  <c r="N73" i="20" s="1"/>
  <c r="T31" i="20"/>
  <c r="T32" i="20"/>
  <c r="W81" i="20"/>
  <c r="N79" i="20" s="1"/>
  <c r="W54" i="20"/>
  <c r="W73" i="20"/>
  <c r="N71" i="20" s="1"/>
  <c r="W76" i="20"/>
  <c r="N74" i="20" s="1"/>
  <c r="W57" i="20"/>
  <c r="W55" i="20"/>
  <c r="W82" i="20"/>
  <c r="N80" i="20" s="1"/>
  <c r="S58" i="20"/>
  <c r="S59" i="20"/>
  <c r="S60" i="20"/>
  <c r="S61" i="20"/>
  <c r="W77" i="20"/>
  <c r="N75" i="20" s="1"/>
  <c r="W83" i="20"/>
  <c r="N81" i="20" s="1"/>
  <c r="W46" i="20"/>
  <c r="X22" i="20"/>
  <c r="T29" i="20"/>
  <c r="U41" i="20"/>
  <c r="U78" i="20" s="1"/>
  <c r="K76" i="20" s="1"/>
  <c r="T58" i="20"/>
  <c r="T59" i="20"/>
  <c r="T60" i="20"/>
  <c r="T61" i="20"/>
  <c r="S54" i="20"/>
  <c r="S55" i="20"/>
  <c r="S56" i="20"/>
  <c r="S57" i="20"/>
  <c r="W78" i="20"/>
  <c r="N76" i="20" s="1"/>
  <c r="T84" i="20"/>
  <c r="J82" i="20" s="1"/>
  <c r="W79" i="20"/>
  <c r="N77" i="20" s="1"/>
  <c r="U84" i="20"/>
  <c r="K82" i="20" s="1"/>
  <c r="S45" i="20"/>
  <c r="S46" i="20"/>
  <c r="W58" i="20"/>
  <c r="W59" i="20"/>
  <c r="W60" i="20"/>
  <c r="W61" i="20"/>
  <c r="W80" i="20"/>
  <c r="N78" i="20" s="1"/>
  <c r="V84" i="20"/>
  <c r="L82" i="20" s="1"/>
  <c r="T54" i="20"/>
  <c r="T55" i="20"/>
  <c r="T56" i="20"/>
  <c r="T57" i="20"/>
  <c r="L19" i="10"/>
  <c r="L25" i="10"/>
  <c r="V62" i="10"/>
  <c r="V63" i="10" s="1"/>
  <c r="V64" i="10" s="1"/>
  <c r="V78" i="20" l="1"/>
  <c r="L76" i="20" s="1"/>
  <c r="T33" i="20"/>
  <c r="V34" i="20"/>
  <c r="T41" i="20"/>
  <c r="U75" i="20" s="1"/>
  <c r="K73" i="20" s="1"/>
  <c r="T42" i="20"/>
  <c r="T81" i="20" s="1"/>
  <c r="J79" i="20" s="1"/>
  <c r="T75" i="20"/>
  <c r="J73" i="20" s="1"/>
  <c r="V81" i="20"/>
  <c r="L79" i="20" s="1"/>
  <c r="V75" i="20"/>
  <c r="L73" i="20" s="1"/>
  <c r="T34" i="20"/>
  <c r="Y34" i="20" s="1"/>
  <c r="F33" i="20" s="1"/>
  <c r="T78" i="20"/>
  <c r="J76" i="20" s="1"/>
  <c r="U57" i="20"/>
  <c r="V57" i="20" s="1"/>
  <c r="N57" i="20" s="1"/>
  <c r="U81" i="20"/>
  <c r="K79" i="20" s="1"/>
  <c r="U61" i="20"/>
  <c r="V61" i="20" s="1"/>
  <c r="N61" i="20" s="1"/>
  <c r="U46" i="20"/>
  <c r="V46" i="20" s="1"/>
  <c r="E45" i="20" s="1"/>
  <c r="D45" i="20" s="1"/>
  <c r="Y40" i="10"/>
  <c r="Y39" i="10"/>
  <c r="W39" i="16"/>
  <c r="V28" i="10"/>
  <c r="T42" i="16"/>
  <c r="X40" i="10"/>
  <c r="W59" i="16"/>
  <c r="V59" i="16"/>
  <c r="U59" i="16"/>
  <c r="T59" i="16"/>
  <c r="W69" i="10"/>
  <c r="V69" i="10"/>
  <c r="U69" i="10"/>
  <c r="T69" i="10"/>
  <c r="U65" i="10"/>
  <c r="T65" i="10"/>
  <c r="W65" i="10"/>
  <c r="V65" i="10"/>
  <c r="U45" i="20" l="1"/>
  <c r="V45" i="20" s="1"/>
  <c r="E44" i="20" s="1"/>
  <c r="D44" i="20" s="1"/>
  <c r="Z34" i="20"/>
  <c r="H33" i="20" s="1"/>
  <c r="S42" i="16"/>
  <c r="W62" i="10"/>
  <c r="W66" i="10"/>
  <c r="V66" i="10"/>
  <c r="V67" i="10" s="1"/>
  <c r="U66" i="10"/>
  <c r="U67" i="10" s="1"/>
  <c r="W67" i="10" l="1"/>
  <c r="W68" i="10" s="1"/>
  <c r="W63" i="10"/>
  <c r="W64" i="10" s="1"/>
  <c r="L22" i="10"/>
  <c r="W56" i="16"/>
  <c r="W53" i="16"/>
  <c r="W52" i="16"/>
  <c r="S52" i="16"/>
  <c r="W50" i="16"/>
  <c r="X39" i="10"/>
  <c r="X19" i="10"/>
  <c r="S54" i="10" l="1"/>
  <c r="S43" i="10"/>
  <c r="S50" i="16"/>
  <c r="S53" i="16"/>
  <c r="S51" i="16"/>
  <c r="W51" i="16"/>
  <c r="T50" i="16"/>
  <c r="T51" i="16"/>
  <c r="W57" i="16"/>
  <c r="T52" i="16"/>
  <c r="W42" i="16"/>
  <c r="T53" i="16"/>
  <c r="W56" i="10"/>
  <c r="S56" i="10"/>
  <c r="T57" i="10"/>
  <c r="W55" i="10"/>
  <c r="S53" i="10"/>
  <c r="S55" i="10"/>
  <c r="T58" i="10"/>
  <c r="S59" i="10"/>
  <c r="W59" i="10"/>
  <c r="T43" i="10"/>
  <c r="T55" i="10"/>
  <c r="W52" i="10"/>
  <c r="T44" i="10"/>
  <c r="W57" i="10"/>
  <c r="T53" i="10"/>
  <c r="T52" i="10"/>
  <c r="T59" i="10"/>
  <c r="W53" i="10"/>
  <c r="S52" i="10"/>
  <c r="W58" i="10"/>
  <c r="S44" i="10"/>
  <c r="T54" i="10"/>
  <c r="W43" i="10"/>
  <c r="S57" i="10"/>
  <c r="W54" i="10"/>
  <c r="S58" i="10"/>
  <c r="T56" i="10"/>
  <c r="W44" i="10"/>
  <c r="X81" i="10"/>
  <c r="A156" i="14" l="1"/>
  <c r="A157" i="14"/>
  <c r="A158" i="14"/>
  <c r="A159" i="14"/>
  <c r="A160" i="14"/>
  <c r="A161" i="14"/>
  <c r="A162" i="14"/>
  <c r="A163" i="14"/>
  <c r="A164" i="14"/>
  <c r="A165" i="14"/>
  <c r="A166" i="14"/>
  <c r="A167" i="14"/>
  <c r="A168" i="14"/>
  <c r="A169" i="14"/>
  <c r="A170" i="14"/>
  <c r="A171" i="14"/>
  <c r="A172" i="14"/>
  <c r="A173" i="14"/>
  <c r="A174" i="14"/>
  <c r="A175" i="14"/>
  <c r="A176" i="14"/>
  <c r="A177" i="14"/>
  <c r="A178" i="14"/>
  <c r="A179" i="14"/>
  <c r="A180" i="14"/>
  <c r="A181" i="14"/>
  <c r="A182" i="14"/>
  <c r="A183" i="14"/>
  <c r="A184" i="14"/>
  <c r="A185" i="14"/>
  <c r="A186" i="14"/>
  <c r="A187" i="14"/>
  <c r="A155" i="14"/>
  <c r="A119" i="14"/>
  <c r="A120" i="14"/>
  <c r="A121" i="14"/>
  <c r="A122" i="14"/>
  <c r="A123" i="14"/>
  <c r="A124" i="14"/>
  <c r="A125" i="14"/>
  <c r="A126" i="14"/>
  <c r="A127" i="14"/>
  <c r="A128" i="14"/>
  <c r="A129" i="14"/>
  <c r="A130" i="14"/>
  <c r="A131" i="14"/>
  <c r="A132" i="14"/>
  <c r="A133" i="14"/>
  <c r="A134" i="14"/>
  <c r="A135" i="14"/>
  <c r="A136" i="14"/>
  <c r="A137" i="14"/>
  <c r="A138" i="14"/>
  <c r="A139" i="14"/>
  <c r="A140" i="14"/>
  <c r="A141" i="14"/>
  <c r="A142" i="14"/>
  <c r="A143" i="14"/>
  <c r="A144" i="14"/>
  <c r="A145" i="14"/>
  <c r="A146" i="14"/>
  <c r="A147" i="14"/>
  <c r="A148" i="14"/>
  <c r="A149" i="14"/>
  <c r="A150" i="14"/>
  <c r="A118" i="14"/>
  <c r="A94" i="14"/>
  <c r="A95" i="14"/>
  <c r="A96" i="14"/>
  <c r="A97" i="14"/>
  <c r="A98" i="14"/>
  <c r="A99" i="14"/>
  <c r="A100" i="14"/>
  <c r="A101" i="14"/>
  <c r="A102" i="14"/>
  <c r="A103" i="14"/>
  <c r="A104" i="14"/>
  <c r="A105" i="14"/>
  <c r="A106" i="14"/>
  <c r="A107" i="14"/>
  <c r="A108" i="14"/>
  <c r="A109" i="14"/>
  <c r="A110" i="14"/>
  <c r="A111" i="14"/>
  <c r="A112" i="14"/>
  <c r="A113" i="14"/>
  <c r="A114" i="14"/>
  <c r="A93"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62" i="14"/>
  <c r="A5" i="14"/>
  <c r="A6" i="14"/>
  <c r="A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4" i="14"/>
  <c r="F111" i="13"/>
  <c r="F110" i="13"/>
  <c r="F109" i="13"/>
  <c r="F108" i="13"/>
  <c r="F107" i="13"/>
  <c r="F106" i="13"/>
  <c r="X21" i="16"/>
  <c r="T20" i="16"/>
  <c r="X20" i="16" s="1"/>
  <c r="X19" i="16"/>
  <c r="X18" i="16"/>
  <c r="X17" i="16"/>
  <c r="X16" i="16"/>
  <c r="X15" i="16"/>
  <c r="X14" i="16"/>
  <c r="Y21" i="10"/>
  <c r="T27" i="10" s="1"/>
  <c r="T20" i="10"/>
  <c r="X20" i="10" s="1"/>
  <c r="Y19" i="10"/>
  <c r="Y18" i="10"/>
  <c r="Y17" i="10"/>
  <c r="Y16" i="10"/>
  <c r="Y15" i="10"/>
  <c r="Y14" i="10"/>
  <c r="X21" i="10"/>
  <c r="X18" i="10"/>
  <c r="X17" i="10"/>
  <c r="X16" i="10"/>
  <c r="X15" i="10"/>
  <c r="X14" i="10"/>
  <c r="T4" i="16"/>
  <c r="X69" i="16"/>
  <c r="X68" i="16"/>
  <c r="X66" i="16"/>
  <c r="X65" i="16"/>
  <c r="W58" i="16"/>
  <c r="V56" i="16"/>
  <c r="U56" i="16"/>
  <c r="T56" i="16"/>
  <c r="T57" i="16" s="1"/>
  <c r="T58" i="16" s="1"/>
  <c r="X52" i="16"/>
  <c r="X51" i="16"/>
  <c r="X50" i="16"/>
  <c r="X42" i="16"/>
  <c r="T9" i="16"/>
  <c r="X71" i="10"/>
  <c r="X72" i="10"/>
  <c r="X74" i="10"/>
  <c r="X75" i="10"/>
  <c r="X77" i="10"/>
  <c r="X78" i="10"/>
  <c r="X80" i="10"/>
  <c r="T62" i="10"/>
  <c r="T63" i="10" s="1"/>
  <c r="T64" i="10" s="1"/>
  <c r="X43" i="10"/>
  <c r="X44" i="10"/>
  <c r="T66" i="10"/>
  <c r="U62" i="10"/>
  <c r="X58" i="10"/>
  <c r="X56" i="10"/>
  <c r="X57" i="10"/>
  <c r="M30" i="14"/>
  <c r="M31" i="14"/>
  <c r="M32" i="14"/>
  <c r="M33" i="14"/>
  <c r="M34" i="14"/>
  <c r="M35" i="14"/>
  <c r="M36" i="14"/>
  <c r="M37" i="14"/>
  <c r="M38" i="14"/>
  <c r="M39" i="14"/>
  <c r="M40" i="14"/>
  <c r="M41" i="14"/>
  <c r="M42" i="14"/>
  <c r="M43" i="14"/>
  <c r="M44" i="14"/>
  <c r="M45" i="14"/>
  <c r="M46" i="14"/>
  <c r="M47" i="14"/>
  <c r="M48" i="14"/>
  <c r="M49" i="14"/>
  <c r="M50" i="14"/>
  <c r="M51" i="14"/>
  <c r="M52" i="14"/>
  <c r="M53" i="14"/>
  <c r="M54" i="14"/>
  <c r="M55" i="14"/>
  <c r="M56" i="14"/>
  <c r="M57" i="14"/>
  <c r="M58" i="14"/>
  <c r="M59" i="14"/>
  <c r="M60" i="14"/>
  <c r="M61" i="14"/>
  <c r="M29" i="14"/>
  <c r="L44" i="14"/>
  <c r="L45" i="14"/>
  <c r="L46" i="14"/>
  <c r="L47" i="14"/>
  <c r="L48" i="14"/>
  <c r="L49" i="14"/>
  <c r="L50" i="14"/>
  <c r="L51" i="14"/>
  <c r="L52" i="14"/>
  <c r="L53" i="14"/>
  <c r="L54" i="14"/>
  <c r="L55" i="14"/>
  <c r="L56" i="14"/>
  <c r="L57" i="14"/>
  <c r="L58" i="14"/>
  <c r="L59" i="14"/>
  <c r="L60" i="14"/>
  <c r="L61" i="14"/>
  <c r="L34" i="14"/>
  <c r="L35" i="14"/>
  <c r="L36" i="14"/>
  <c r="L37" i="14"/>
  <c r="L38" i="14"/>
  <c r="L39" i="14"/>
  <c r="L40" i="14"/>
  <c r="L41" i="14"/>
  <c r="L42" i="14"/>
  <c r="L43" i="14"/>
  <c r="L30" i="14"/>
  <c r="L31" i="14"/>
  <c r="L32" i="14"/>
  <c r="L33" i="14"/>
  <c r="L29" i="14"/>
  <c r="L62" i="14"/>
  <c r="L63" i="14"/>
  <c r="T9" i="10"/>
  <c r="V26" i="10" s="1"/>
  <c r="F79" i="13"/>
  <c r="I77" i="20" l="1"/>
  <c r="I72" i="20"/>
  <c r="L58" i="20"/>
  <c r="U58" i="20" s="1"/>
  <c r="V58" i="20" s="1"/>
  <c r="N58" i="20" s="1"/>
  <c r="L54" i="20"/>
  <c r="U54" i="20" s="1"/>
  <c r="V54" i="20" s="1"/>
  <c r="N54" i="20" s="1"/>
  <c r="I71" i="20"/>
  <c r="L55" i="20"/>
  <c r="U55" i="20" s="1"/>
  <c r="V55" i="20" s="1"/>
  <c r="N55" i="20" s="1"/>
  <c r="L56" i="20"/>
  <c r="U56" i="20" s="1"/>
  <c r="V56" i="20" s="1"/>
  <c r="N56" i="20" s="1"/>
  <c r="I81" i="20"/>
  <c r="I75" i="20"/>
  <c r="I80" i="20"/>
  <c r="L60" i="20"/>
  <c r="U60" i="20" s="1"/>
  <c r="V60" i="20" s="1"/>
  <c r="N60" i="20" s="1"/>
  <c r="I74" i="20"/>
  <c r="L59" i="20"/>
  <c r="U59" i="20" s="1"/>
  <c r="V59" i="20" s="1"/>
  <c r="N59" i="20" s="1"/>
  <c r="I78" i="20"/>
  <c r="V26" i="16"/>
  <c r="U39" i="16" s="1"/>
  <c r="W70" i="16" s="1"/>
  <c r="T26" i="16"/>
  <c r="T67" i="10"/>
  <c r="T68" i="10" s="1"/>
  <c r="U63" i="10"/>
  <c r="U64" i="10" s="1"/>
  <c r="U57" i="16"/>
  <c r="U58" i="16" s="1"/>
  <c r="V57" i="16"/>
  <c r="V58" i="16" s="1"/>
  <c r="T27" i="16"/>
  <c r="V27" i="16"/>
  <c r="V29" i="10"/>
  <c r="U68" i="10"/>
  <c r="V68" i="10"/>
  <c r="T29" i="10"/>
  <c r="T28" i="10"/>
  <c r="I77" i="10"/>
  <c r="I81" i="10"/>
  <c r="I78" i="10"/>
  <c r="I72" i="10"/>
  <c r="I74" i="10"/>
  <c r="I75" i="10"/>
  <c r="I80" i="10"/>
  <c r="Y20" i="10"/>
  <c r="I71" i="10"/>
  <c r="U83" i="20" l="1"/>
  <c r="K81" i="20" s="1"/>
  <c r="T83" i="20"/>
  <c r="J81" i="20" s="1"/>
  <c r="V83" i="20"/>
  <c r="L81" i="20" s="1"/>
  <c r="U80" i="20"/>
  <c r="K78" i="20" s="1"/>
  <c r="V80" i="20"/>
  <c r="L78" i="20" s="1"/>
  <c r="T80" i="20"/>
  <c r="J78" i="20" s="1"/>
  <c r="V73" i="20"/>
  <c r="L71" i="20" s="1"/>
  <c r="T73" i="20"/>
  <c r="J71" i="20" s="1"/>
  <c r="U73" i="20"/>
  <c r="K71" i="20" s="1"/>
  <c r="V76" i="20"/>
  <c r="L74" i="20" s="1"/>
  <c r="U76" i="20"/>
  <c r="K74" i="20" s="1"/>
  <c r="T76" i="20"/>
  <c r="J74" i="20" s="1"/>
  <c r="T74" i="20"/>
  <c r="J72" i="20" s="1"/>
  <c r="V74" i="20"/>
  <c r="L72" i="20" s="1"/>
  <c r="U74" i="20"/>
  <c r="K72" i="20" s="1"/>
  <c r="U82" i="20"/>
  <c r="K80" i="20" s="1"/>
  <c r="V82" i="20"/>
  <c r="L80" i="20" s="1"/>
  <c r="T82" i="20"/>
  <c r="J80" i="20" s="1"/>
  <c r="V77" i="20"/>
  <c r="L75" i="20" s="1"/>
  <c r="T77" i="20"/>
  <c r="J75" i="20" s="1"/>
  <c r="U77" i="20"/>
  <c r="K75" i="20" s="1"/>
  <c r="V79" i="20"/>
  <c r="L77" i="20" s="1"/>
  <c r="T79" i="20"/>
  <c r="J77" i="20" s="1"/>
  <c r="U79" i="20"/>
  <c r="K77" i="20" s="1"/>
  <c r="V27" i="10"/>
  <c r="T69" i="16"/>
  <c r="J68" i="16" s="1"/>
  <c r="W69" i="16"/>
  <c r="N68" i="16" s="1"/>
  <c r="T70" i="16"/>
  <c r="W68" i="16"/>
  <c r="N67" i="16" s="1"/>
  <c r="T68" i="16"/>
  <c r="J67" i="16" s="1"/>
  <c r="V70" i="16"/>
  <c r="V68" i="16"/>
  <c r="L67" i="16" s="1"/>
  <c r="V69" i="16"/>
  <c r="L68" i="16" s="1"/>
  <c r="U40" i="10"/>
  <c r="T80" i="10" s="1"/>
  <c r="V40" i="10"/>
  <c r="W40" i="10"/>
  <c r="U69" i="16"/>
  <c r="K68" i="16" s="1"/>
  <c r="U68" i="16"/>
  <c r="K67" i="16" s="1"/>
  <c r="U70" i="16"/>
  <c r="T39" i="16"/>
  <c r="V67" i="16" s="1"/>
  <c r="V28" i="16"/>
  <c r="U39" i="10"/>
  <c r="W76" i="10" s="1"/>
  <c r="T28" i="16"/>
  <c r="Y28" i="16" s="1"/>
  <c r="F31" i="16" s="1"/>
  <c r="T32" i="10"/>
  <c r="Y32" i="10" s="1"/>
  <c r="T31" i="10"/>
  <c r="Z32" i="10" l="1"/>
  <c r="H33" i="10" s="1"/>
  <c r="F33" i="10"/>
  <c r="V32" i="10"/>
  <c r="T40" i="10"/>
  <c r="V77" i="10" s="1"/>
  <c r="L77" i="10" s="1"/>
  <c r="T39" i="10"/>
  <c r="T71" i="10" s="1"/>
  <c r="V31" i="10"/>
  <c r="V66" i="16"/>
  <c r="L65" i="16" s="1"/>
  <c r="U42" i="16"/>
  <c r="V42" i="16" s="1"/>
  <c r="W66" i="16"/>
  <c r="N65" i="16" s="1"/>
  <c r="W67" i="16"/>
  <c r="W65" i="16"/>
  <c r="N64" i="16" s="1"/>
  <c r="V65" i="16"/>
  <c r="L64" i="16" s="1"/>
  <c r="V71" i="10"/>
  <c r="L71" i="10" s="1"/>
  <c r="W78" i="10"/>
  <c r="N78" i="10" s="1"/>
  <c r="U80" i="10"/>
  <c r="K80" i="10" s="1"/>
  <c r="T81" i="10"/>
  <c r="J81" i="10" s="1"/>
  <c r="W80" i="10"/>
  <c r="N80" i="10" s="1"/>
  <c r="V80" i="10"/>
  <c r="L80" i="10" s="1"/>
  <c r="T66" i="16"/>
  <c r="J65" i="16" s="1"/>
  <c r="U66" i="16"/>
  <c r="K65" i="16" s="1"/>
  <c r="U52" i="16"/>
  <c r="V52" i="16" s="1"/>
  <c r="N53" i="16" s="1"/>
  <c r="U53" i="16"/>
  <c r="V53" i="16" s="1"/>
  <c r="T67" i="16"/>
  <c r="W72" i="10"/>
  <c r="U50" i="16"/>
  <c r="U51" i="16"/>
  <c r="V51" i="16" s="1"/>
  <c r="N52" i="16" s="1"/>
  <c r="T65" i="16"/>
  <c r="J64" i="16" s="1"/>
  <c r="W71" i="10"/>
  <c r="N71" i="10" s="1"/>
  <c r="U67" i="16"/>
  <c r="U65" i="16"/>
  <c r="K64" i="16" s="1"/>
  <c r="W77" i="10"/>
  <c r="N77" i="10" s="1"/>
  <c r="U81" i="10"/>
  <c r="K81" i="10" s="1"/>
  <c r="T82" i="10"/>
  <c r="J82" i="10" s="1"/>
  <c r="U82" i="10"/>
  <c r="K82" i="10" s="1"/>
  <c r="V82" i="10"/>
  <c r="L82" i="10" s="1"/>
  <c r="W82" i="10"/>
  <c r="N82" i="10" s="1"/>
  <c r="W81" i="10"/>
  <c r="N81" i="10" s="1"/>
  <c r="J80" i="10"/>
  <c r="V81" i="10"/>
  <c r="L81" i="10" s="1"/>
  <c r="W73" i="10"/>
  <c r="N73" i="10" s="1"/>
  <c r="W79" i="10"/>
  <c r="N79" i="10" s="1"/>
  <c r="T74" i="10"/>
  <c r="J74" i="10" s="1"/>
  <c r="N76" i="10"/>
  <c r="W75" i="10"/>
  <c r="N75" i="10" s="1"/>
  <c r="W74" i="10"/>
  <c r="N74" i="10" s="1"/>
  <c r="T76" i="10"/>
  <c r="J76" i="10" s="1"/>
  <c r="V76" i="10"/>
  <c r="L76" i="10" s="1"/>
  <c r="U76" i="10"/>
  <c r="K76" i="10" s="1"/>
  <c r="U75" i="10"/>
  <c r="K75" i="10" s="1"/>
  <c r="V75" i="10"/>
  <c r="L75" i="10" s="1"/>
  <c r="V74" i="10"/>
  <c r="L74" i="10" s="1"/>
  <c r="U74" i="10"/>
  <c r="K74" i="10" s="1"/>
  <c r="T75" i="10"/>
  <c r="J75" i="10" s="1"/>
  <c r="V72" i="10"/>
  <c r="V78" i="10"/>
  <c r="L78" i="10" s="1"/>
  <c r="V79" i="10" l="1"/>
  <c r="L79" i="10" s="1"/>
  <c r="V73" i="10"/>
  <c r="L73" i="10" s="1"/>
  <c r="U72" i="10"/>
  <c r="K72" i="10" s="1"/>
  <c r="T77" i="10"/>
  <c r="J77" i="10" s="1"/>
  <c r="U77" i="10"/>
  <c r="K77" i="10" s="1"/>
  <c r="U78" i="10"/>
  <c r="K78" i="10" s="1"/>
  <c r="U59" i="10"/>
  <c r="V59" i="10" s="1"/>
  <c r="N61" i="10" s="1"/>
  <c r="U43" i="10"/>
  <c r="V43" i="10" s="1"/>
  <c r="E44" i="10" s="1"/>
  <c r="D44" i="10" s="1"/>
  <c r="U57" i="10"/>
  <c r="V57" i="10" s="1"/>
  <c r="N59" i="10" s="1"/>
  <c r="U56" i="10"/>
  <c r="V56" i="10" s="1"/>
  <c r="N58" i="10" s="1"/>
  <c r="U58" i="10"/>
  <c r="V58" i="10" s="1"/>
  <c r="N60" i="10" s="1"/>
  <c r="U44" i="10"/>
  <c r="V44" i="10" s="1"/>
  <c r="E45" i="10" s="1"/>
  <c r="D45" i="10" s="1"/>
  <c r="T78" i="10"/>
  <c r="J78" i="10" s="1"/>
  <c r="T79" i="10"/>
  <c r="J79" i="10" s="1"/>
  <c r="U79" i="10"/>
  <c r="K79" i="10" s="1"/>
  <c r="T72" i="10"/>
  <c r="J72" i="10" s="1"/>
  <c r="U55" i="10"/>
  <c r="V55" i="10" s="1"/>
  <c r="N57" i="10" s="1"/>
  <c r="U73" i="10"/>
  <c r="K73" i="10" s="1"/>
  <c r="U71" i="10"/>
  <c r="K71" i="10" s="1"/>
  <c r="U53" i="10"/>
  <c r="V53" i="10" s="1"/>
  <c r="N55" i="10" s="1"/>
  <c r="T73" i="10"/>
  <c r="J73" i="10" s="1"/>
  <c r="U54" i="10"/>
  <c r="V54" i="10" s="1"/>
  <c r="N56" i="10" s="1"/>
  <c r="U52" i="10"/>
  <c r="V52" i="10" s="1"/>
  <c r="N54" i="10" s="1"/>
  <c r="J71" i="10"/>
  <c r="V50" i="16"/>
  <c r="N51" i="16" s="1"/>
  <c r="L72" i="10"/>
  <c r="N72" i="10"/>
</calcChain>
</file>

<file path=xl/sharedStrings.xml><?xml version="1.0" encoding="utf-8"?>
<sst xmlns="http://schemas.openxmlformats.org/spreadsheetml/2006/main" count="1791" uniqueCount="611">
  <si>
    <t>C0</t>
    <phoneticPr fontId="1"/>
  </si>
  <si>
    <t>Z</t>
    <phoneticPr fontId="1"/>
  </si>
  <si>
    <t>Rt</t>
    <phoneticPr fontId="1"/>
  </si>
  <si>
    <t>標準せん断力係数</t>
    <rPh sb="0" eb="2">
      <t>ヒョウジュン</t>
    </rPh>
    <rPh sb="4" eb="5">
      <t>ダン</t>
    </rPh>
    <rPh sb="5" eb="6">
      <t>チカラ</t>
    </rPh>
    <rPh sb="6" eb="8">
      <t>ケイスウ</t>
    </rPh>
    <phoneticPr fontId="1"/>
  </si>
  <si>
    <t>地震地域係数</t>
    <rPh sb="0" eb="2">
      <t>ジシン</t>
    </rPh>
    <rPh sb="2" eb="6">
      <t>チイキケイスウ</t>
    </rPh>
    <phoneticPr fontId="1"/>
  </si>
  <si>
    <t>振動特性係数</t>
    <rPh sb="0" eb="2">
      <t>シンドウ</t>
    </rPh>
    <rPh sb="2" eb="4">
      <t>トクセイ</t>
    </rPh>
    <rPh sb="4" eb="6">
      <t>ケイスウ</t>
    </rPh>
    <phoneticPr fontId="1"/>
  </si>
  <si>
    <t>太陽光発電設備等</t>
    <rPh sb="0" eb="3">
      <t>タイヨウコウ</t>
    </rPh>
    <rPh sb="3" eb="5">
      <t>ハツデン</t>
    </rPh>
    <rPh sb="5" eb="7">
      <t>セツビ</t>
    </rPh>
    <rPh sb="7" eb="8">
      <t>トウ</t>
    </rPh>
    <phoneticPr fontId="1"/>
  </si>
  <si>
    <t>なし</t>
    <phoneticPr fontId="1"/>
  </si>
  <si>
    <t>各階の床面積比（2階床面積/1階床面積）</t>
    <rPh sb="0" eb="2">
      <t>カクカイ</t>
    </rPh>
    <rPh sb="3" eb="6">
      <t>ユカメンセキ</t>
    </rPh>
    <rPh sb="6" eb="7">
      <t>ヒ</t>
    </rPh>
    <rPh sb="9" eb="11">
      <t>カイユカ</t>
    </rPh>
    <rPh sb="11" eb="13">
      <t>メンセキ</t>
    </rPh>
    <rPh sb="15" eb="16">
      <t>カイ</t>
    </rPh>
    <rPh sb="16" eb="19">
      <t>ユカメンセキ</t>
    </rPh>
    <phoneticPr fontId="1"/>
  </si>
  <si>
    <t>外壁</t>
    <rPh sb="0" eb="2">
      <t>ガイヘキ</t>
    </rPh>
    <phoneticPr fontId="1"/>
  </si>
  <si>
    <t>あり</t>
    <phoneticPr fontId="1"/>
  </si>
  <si>
    <t>瓦屋根（ふき土無）</t>
    <rPh sb="0" eb="1">
      <t>カワラ</t>
    </rPh>
    <rPh sb="1" eb="3">
      <t>ヤネ</t>
    </rPh>
    <rPh sb="6" eb="7">
      <t>ド</t>
    </rPh>
    <rPh sb="7" eb="8">
      <t>ム</t>
    </rPh>
    <phoneticPr fontId="1"/>
  </si>
  <si>
    <t>スレート屋根</t>
    <rPh sb="4" eb="6">
      <t>ヤネ</t>
    </rPh>
    <phoneticPr fontId="1"/>
  </si>
  <si>
    <t>金属板ぶき</t>
    <rPh sb="0" eb="2">
      <t>キンゾク</t>
    </rPh>
    <phoneticPr fontId="1"/>
  </si>
  <si>
    <t>サイディング</t>
    <phoneticPr fontId="1"/>
  </si>
  <si>
    <t>金属板張</t>
    <rPh sb="0" eb="2">
      <t>キンゾク</t>
    </rPh>
    <rPh sb="2" eb="3">
      <t>イタ</t>
    </rPh>
    <rPh sb="3" eb="4">
      <t>ハ</t>
    </rPh>
    <phoneticPr fontId="1"/>
  </si>
  <si>
    <t>内壁</t>
    <rPh sb="0" eb="2">
      <t>ナイヘキ</t>
    </rPh>
    <phoneticPr fontId="1"/>
  </si>
  <si>
    <t>屋根</t>
    <rPh sb="0" eb="2">
      <t>ヤネ</t>
    </rPh>
    <phoneticPr fontId="1"/>
  </si>
  <si>
    <t>断熱材</t>
    <rPh sb="0" eb="3">
      <t>ダンネツザイ</t>
    </rPh>
    <phoneticPr fontId="1"/>
  </si>
  <si>
    <t>天井断熱材</t>
    <rPh sb="0" eb="2">
      <t>テンジョウ</t>
    </rPh>
    <rPh sb="2" eb="5">
      <t>ダンネツザイ</t>
    </rPh>
    <phoneticPr fontId="1"/>
  </si>
  <si>
    <t>壁断熱材</t>
    <rPh sb="0" eb="1">
      <t>カベ</t>
    </rPh>
    <rPh sb="1" eb="4">
      <t>ダンネツザイ</t>
    </rPh>
    <phoneticPr fontId="1"/>
  </si>
  <si>
    <t>開口部</t>
    <rPh sb="0" eb="3">
      <t>カイコウブ</t>
    </rPh>
    <phoneticPr fontId="1"/>
  </si>
  <si>
    <t>トリプルガラス</t>
    <phoneticPr fontId="1"/>
  </si>
  <si>
    <t>床</t>
    <rPh sb="0" eb="1">
      <t>ユカ</t>
    </rPh>
    <phoneticPr fontId="1"/>
  </si>
  <si>
    <t>積載</t>
    <rPh sb="0" eb="2">
      <t>セキサイ</t>
    </rPh>
    <phoneticPr fontId="1"/>
  </si>
  <si>
    <t>1階</t>
    <rPh sb="1" eb="2">
      <t>カイ</t>
    </rPh>
    <phoneticPr fontId="1"/>
  </si>
  <si>
    <t>2階</t>
    <rPh sb="1" eb="2">
      <t>カイ</t>
    </rPh>
    <phoneticPr fontId="1"/>
  </si>
  <si>
    <t>土塗り壁等</t>
    <rPh sb="0" eb="1">
      <t>ツチ</t>
    </rPh>
    <rPh sb="1" eb="2">
      <t>ヌ</t>
    </rPh>
    <rPh sb="3" eb="4">
      <t>カベ</t>
    </rPh>
    <rPh sb="4" eb="5">
      <t>トウ</t>
    </rPh>
    <phoneticPr fontId="1"/>
  </si>
  <si>
    <t>モルタル等</t>
    <rPh sb="4" eb="5">
      <t>トウ</t>
    </rPh>
    <phoneticPr fontId="1"/>
  </si>
  <si>
    <t>2階階高（ｍ）</t>
    <rPh sb="2" eb="4">
      <t>カイダカ</t>
    </rPh>
    <phoneticPr fontId="1"/>
  </si>
  <si>
    <t>1階階高（ｍ）</t>
    <rPh sb="2" eb="4">
      <t>カイダカ</t>
    </rPh>
    <phoneticPr fontId="1"/>
  </si>
  <si>
    <r>
      <t>床面積当たりの荷重(N/m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7" eb="9">
      <t>カジュウ</t>
    </rPh>
    <phoneticPr fontId="1"/>
  </si>
  <si>
    <t>せっこうボード</t>
    <phoneticPr fontId="1"/>
  </si>
  <si>
    <r>
      <t>階高2.8m時の床面積当たりの荷重(N/m</t>
    </r>
    <r>
      <rPr>
        <vertAlign val="superscript"/>
        <sz val="11"/>
        <color theme="1"/>
        <rFont val="Yu Gothic"/>
        <family val="3"/>
        <charset val="128"/>
        <scheme val="minor"/>
      </rPr>
      <t>2</t>
    </r>
    <r>
      <rPr>
        <sz val="11"/>
        <color theme="1"/>
        <rFont val="Yu Gothic"/>
        <family val="3"/>
        <charset val="128"/>
        <scheme val="minor"/>
      </rPr>
      <t>/2.8m</t>
    </r>
    <r>
      <rPr>
        <sz val="11"/>
        <color theme="1"/>
        <rFont val="Yu Gothic"/>
        <family val="2"/>
        <scheme val="minor"/>
      </rPr>
      <t>)</t>
    </r>
    <rPh sb="0" eb="2">
      <t>カイダカ</t>
    </rPh>
    <rPh sb="6" eb="7">
      <t>ジ</t>
    </rPh>
    <rPh sb="8" eb="11">
      <t>ユカメンセキ</t>
    </rPh>
    <rPh sb="11" eb="12">
      <t>ア</t>
    </rPh>
    <rPh sb="15" eb="17">
      <t>カジュウ</t>
    </rPh>
    <phoneticPr fontId="1"/>
  </si>
  <si>
    <t>物件名</t>
    <rPh sb="0" eb="3">
      <t>ブッケンメイ</t>
    </rPh>
    <phoneticPr fontId="1"/>
  </si>
  <si>
    <t>入
力
値</t>
    <rPh sb="0" eb="1">
      <t>ハイ</t>
    </rPh>
    <rPh sb="2" eb="3">
      <t>チカラ</t>
    </rPh>
    <rPh sb="4" eb="5">
      <t>アタイ</t>
    </rPh>
    <phoneticPr fontId="1"/>
  </si>
  <si>
    <t>出力結果</t>
    <rPh sb="0" eb="2">
      <t>シュツリョク</t>
    </rPh>
    <rPh sb="2" eb="4">
      <t>ケッカ</t>
    </rPh>
    <phoneticPr fontId="1"/>
  </si>
  <si>
    <t>作成日</t>
    <rPh sb="0" eb="3">
      <t>サクセイビ</t>
    </rPh>
    <phoneticPr fontId="1"/>
  </si>
  <si>
    <t>105角</t>
    <rPh sb="3" eb="4">
      <t>カク</t>
    </rPh>
    <phoneticPr fontId="1"/>
  </si>
  <si>
    <t>120角</t>
    <rPh sb="3" eb="4">
      <t>カク</t>
    </rPh>
    <phoneticPr fontId="1"/>
  </si>
  <si>
    <t>屋根の仕様</t>
    <rPh sb="0" eb="2">
      <t>ヤネ</t>
    </rPh>
    <rPh sb="3" eb="5">
      <t>シヨウ</t>
    </rPh>
    <phoneticPr fontId="1"/>
  </si>
  <si>
    <t>外壁の仕様</t>
    <rPh sb="0" eb="2">
      <t>ガイヘキ</t>
    </rPh>
    <rPh sb="3" eb="5">
      <t>シヨウ</t>
    </rPh>
    <phoneticPr fontId="1"/>
  </si>
  <si>
    <t>項目</t>
    <rPh sb="0" eb="2">
      <t>コウモク</t>
    </rPh>
    <phoneticPr fontId="1"/>
  </si>
  <si>
    <t>入力欄</t>
    <rPh sb="0" eb="3">
      <t>ニュウリョクラン</t>
    </rPh>
    <phoneticPr fontId="1"/>
  </si>
  <si>
    <r>
      <t>2階床面積(m</t>
    </r>
    <r>
      <rPr>
        <vertAlign val="superscript"/>
        <sz val="11"/>
        <color theme="1"/>
        <rFont val="Yu Gothic"/>
        <family val="3"/>
        <charset val="128"/>
        <scheme val="minor"/>
      </rPr>
      <t>2</t>
    </r>
    <r>
      <rPr>
        <sz val="11"/>
        <color theme="1"/>
        <rFont val="Yu Gothic"/>
        <family val="2"/>
        <scheme val="minor"/>
      </rPr>
      <t>）</t>
    </r>
    <rPh sb="1" eb="5">
      <t>カイユカメンセキ</t>
    </rPh>
    <phoneticPr fontId="1"/>
  </si>
  <si>
    <r>
      <t>1階床面積(m</t>
    </r>
    <r>
      <rPr>
        <vertAlign val="superscript"/>
        <sz val="11"/>
        <color theme="1"/>
        <rFont val="Yu Gothic"/>
        <family val="3"/>
        <charset val="128"/>
        <scheme val="minor"/>
      </rPr>
      <t>2</t>
    </r>
    <r>
      <rPr>
        <sz val="11"/>
        <color theme="1"/>
        <rFont val="Yu Gothic"/>
        <family val="2"/>
        <scheme val="minor"/>
      </rPr>
      <t>）</t>
    </r>
    <rPh sb="1" eb="5">
      <t>カイユカメンセキ</t>
    </rPh>
    <phoneticPr fontId="1"/>
  </si>
  <si>
    <t>軟弱地盤の指定がある場合は0.3（不明な場合は特定行政庁に確認）</t>
    <rPh sb="0" eb="2">
      <t>ナンジャク</t>
    </rPh>
    <rPh sb="2" eb="4">
      <t>ジバン</t>
    </rPh>
    <rPh sb="5" eb="7">
      <t>シテイ</t>
    </rPh>
    <rPh sb="10" eb="12">
      <t>バアイ</t>
    </rPh>
    <rPh sb="17" eb="19">
      <t>フメイ</t>
    </rPh>
    <rPh sb="20" eb="22">
      <t>バアイ</t>
    </rPh>
    <rPh sb="23" eb="28">
      <t>トクテイギョウセイチョウ</t>
    </rPh>
    <rPh sb="29" eb="31">
      <t>カクニン</t>
    </rPh>
    <phoneticPr fontId="1"/>
  </si>
  <si>
    <t>数値</t>
    <rPh sb="0" eb="2">
      <t>スウチ</t>
    </rPh>
    <phoneticPr fontId="1"/>
  </si>
  <si>
    <t>-</t>
    <phoneticPr fontId="1"/>
  </si>
  <si>
    <r>
      <t xml:space="preserve">荷重の出典
</t>
    </r>
    <r>
      <rPr>
        <u/>
        <sz val="9"/>
        <color theme="1"/>
        <rFont val="Yu Gothic"/>
        <family val="3"/>
        <charset val="128"/>
        <scheme val="minor"/>
      </rPr>
      <t>（※（一社）日本建築防災協会HP「木造建築物における省エネ化等による建築物の重量化に対応するための必要な壁量等の基準（案）の概要」（令和4年10月国土交通省公表）に関する補足資料」令和４年１０月２８日より</t>
    </r>
    <rPh sb="0" eb="2">
      <t>カジュウ</t>
    </rPh>
    <rPh sb="3" eb="5">
      <t>シュッテン</t>
    </rPh>
    <rPh sb="9" eb="11">
      <t>イチシャ</t>
    </rPh>
    <rPh sb="12" eb="14">
      <t>ニホン</t>
    </rPh>
    <rPh sb="14" eb="20">
      <t>ケンチクボウサイキョウカイ</t>
    </rPh>
    <rPh sb="96" eb="98">
      <t>レイワ</t>
    </rPh>
    <rPh sb="99" eb="100">
      <t>ネン</t>
    </rPh>
    <rPh sb="102" eb="103">
      <t>ガツ</t>
    </rPh>
    <rPh sb="105" eb="106">
      <t>ニチ</t>
    </rPh>
    <phoneticPr fontId="1"/>
  </si>
  <si>
    <t>屋根全面設置を想定（国土交通省によるヒアリング調査等より）</t>
    <rPh sb="7" eb="9">
      <t>ソウテイ</t>
    </rPh>
    <phoneticPr fontId="1"/>
  </si>
  <si>
    <t>令第85条</t>
    <rPh sb="0" eb="1">
      <t>レイ</t>
    </rPh>
    <rPh sb="1" eb="2">
      <t>ダイ</t>
    </rPh>
    <rPh sb="4" eb="5">
      <t>ジョウ</t>
    </rPh>
    <phoneticPr fontId="1"/>
  </si>
  <si>
    <t>※１　令第84条より</t>
    <rPh sb="3" eb="4">
      <t>レイ</t>
    </rPh>
    <rPh sb="4" eb="5">
      <t>ダイ</t>
    </rPh>
    <rPh sb="7" eb="8">
      <t>ジョウ</t>
    </rPh>
    <phoneticPr fontId="1"/>
  </si>
  <si>
    <r>
      <t>壁面積あたりの荷重(N/m</t>
    </r>
    <r>
      <rPr>
        <vertAlign val="superscript"/>
        <sz val="11"/>
        <color theme="1"/>
        <rFont val="Yu Gothic"/>
        <family val="3"/>
        <charset val="128"/>
        <scheme val="minor"/>
      </rPr>
      <t>2</t>
    </r>
    <r>
      <rPr>
        <sz val="11"/>
        <color theme="1"/>
        <rFont val="Yu Gothic"/>
        <family val="3"/>
        <charset val="128"/>
        <scheme val="minor"/>
      </rPr>
      <t>)</t>
    </r>
    <rPh sb="0" eb="1">
      <t>カベ</t>
    </rPh>
    <rPh sb="1" eb="3">
      <t>メンセキ</t>
    </rPh>
    <rPh sb="7" eb="9">
      <t>カジュウ</t>
    </rPh>
    <phoneticPr fontId="1"/>
  </si>
  <si>
    <t>区分</t>
    <rPh sb="0" eb="2">
      <t>クブン</t>
    </rPh>
    <phoneticPr fontId="1"/>
  </si>
  <si>
    <t>樹種</t>
    <rPh sb="0" eb="2">
      <t>ジュシュ</t>
    </rPh>
    <phoneticPr fontId="1"/>
  </si>
  <si>
    <t>等級</t>
    <rPh sb="0" eb="2">
      <t>トウキュウ</t>
    </rPh>
    <phoneticPr fontId="1"/>
  </si>
  <si>
    <t>一級</t>
    <rPh sb="0" eb="2">
      <t>イッキュウ</t>
    </rPh>
    <phoneticPr fontId="1"/>
  </si>
  <si>
    <t>二級</t>
    <rPh sb="0" eb="2">
      <t>ニキュウ</t>
    </rPh>
    <phoneticPr fontId="1"/>
  </si>
  <si>
    <t>三級</t>
    <rPh sb="0" eb="2">
      <t>サンキュウ</t>
    </rPh>
    <phoneticPr fontId="1"/>
  </si>
  <si>
    <t>あかまつ</t>
    <phoneticPr fontId="1"/>
  </si>
  <si>
    <t>べいまつ</t>
    <phoneticPr fontId="1"/>
  </si>
  <si>
    <t>からまつ</t>
    <phoneticPr fontId="1"/>
  </si>
  <si>
    <t>ダフリカからまつ</t>
    <phoneticPr fontId="1"/>
  </si>
  <si>
    <t>ひば</t>
    <phoneticPr fontId="1"/>
  </si>
  <si>
    <t>ひのき</t>
    <phoneticPr fontId="1"/>
  </si>
  <si>
    <t>べいつが</t>
    <phoneticPr fontId="1"/>
  </si>
  <si>
    <t>えぞまつ及びとどまつ</t>
    <rPh sb="4" eb="5">
      <t>オヨ</t>
    </rPh>
    <phoneticPr fontId="1"/>
  </si>
  <si>
    <t>すぎ</t>
    <phoneticPr fontId="1"/>
  </si>
  <si>
    <t>甲種構造材
乙種構造材</t>
    <rPh sb="0" eb="1">
      <t>コウ</t>
    </rPh>
    <rPh sb="1" eb="2">
      <t>シュ</t>
    </rPh>
    <rPh sb="2" eb="5">
      <t>コウゾウザイ</t>
    </rPh>
    <phoneticPr fontId="1"/>
  </si>
  <si>
    <t>E90</t>
    <phoneticPr fontId="1"/>
  </si>
  <si>
    <t xml:space="preserve">E150 </t>
    <phoneticPr fontId="1"/>
  </si>
  <si>
    <t>E110</t>
    <phoneticPr fontId="1"/>
  </si>
  <si>
    <t>E130</t>
    <phoneticPr fontId="1"/>
  </si>
  <si>
    <t>E50</t>
    <phoneticPr fontId="1"/>
  </si>
  <si>
    <t>E70</t>
    <phoneticPr fontId="1"/>
  </si>
  <si>
    <t>無等級材</t>
    <rPh sb="0" eb="1">
      <t>ム</t>
    </rPh>
    <rPh sb="1" eb="4">
      <t>トウキュウザイ</t>
    </rPh>
    <phoneticPr fontId="1"/>
  </si>
  <si>
    <t>針葉樹</t>
    <rPh sb="0" eb="3">
      <t>シンヨウジュ</t>
    </rPh>
    <phoneticPr fontId="1"/>
  </si>
  <si>
    <t>広葉樹</t>
    <rPh sb="0" eb="3">
      <t>コウヨウジュ</t>
    </rPh>
    <phoneticPr fontId="1"/>
  </si>
  <si>
    <t>かし</t>
    <phoneticPr fontId="1"/>
  </si>
  <si>
    <t>すぎ</t>
  </si>
  <si>
    <t>E70</t>
  </si>
  <si>
    <t>基準強度</t>
    <rPh sb="0" eb="4">
      <t>キジュンキョウド</t>
    </rPh>
    <phoneticPr fontId="1"/>
  </si>
  <si>
    <t>180E</t>
  </si>
  <si>
    <t>180E</t>
    <phoneticPr fontId="1"/>
  </si>
  <si>
    <t>90E</t>
    <phoneticPr fontId="1"/>
  </si>
  <si>
    <t>べいまつ</t>
  </si>
  <si>
    <t>からまつ</t>
  </si>
  <si>
    <t>ダフリカからまつ</t>
  </si>
  <si>
    <t>べいつが</t>
  </si>
  <si>
    <t>あかまつ</t>
  </si>
  <si>
    <t>同一等級構成集成材</t>
    <rPh sb="0" eb="4">
      <t>ドウイツトウキュウ</t>
    </rPh>
    <rPh sb="4" eb="6">
      <t>コウセイ</t>
    </rPh>
    <rPh sb="6" eb="9">
      <t>シュウセイザイ</t>
    </rPh>
    <phoneticPr fontId="1"/>
  </si>
  <si>
    <t>ひき板の積層数</t>
    <rPh sb="2" eb="3">
      <t>イタ</t>
    </rPh>
    <rPh sb="4" eb="6">
      <t>セキソウ</t>
    </rPh>
    <rPh sb="6" eb="7">
      <t>スウ</t>
    </rPh>
    <phoneticPr fontId="1"/>
  </si>
  <si>
    <t>E190-F615</t>
    <phoneticPr fontId="1"/>
  </si>
  <si>
    <t>E170-F540</t>
    <phoneticPr fontId="1"/>
  </si>
  <si>
    <t>E150-F465</t>
    <phoneticPr fontId="1"/>
  </si>
  <si>
    <t>E135-F405</t>
    <phoneticPr fontId="1"/>
  </si>
  <si>
    <t>E120-F375</t>
    <phoneticPr fontId="1"/>
  </si>
  <si>
    <t>E105-F345</t>
    <phoneticPr fontId="1"/>
  </si>
  <si>
    <t>E95-F315</t>
    <phoneticPr fontId="1"/>
  </si>
  <si>
    <t>E75-F270</t>
    <phoneticPr fontId="1"/>
  </si>
  <si>
    <t>E65-F255</t>
    <phoneticPr fontId="1"/>
  </si>
  <si>
    <t>E55-F225</t>
    <phoneticPr fontId="1"/>
  </si>
  <si>
    <t>E190-F555</t>
    <phoneticPr fontId="1"/>
  </si>
  <si>
    <t>E170-F495</t>
    <phoneticPr fontId="1"/>
  </si>
  <si>
    <t>E150-F435</t>
    <phoneticPr fontId="1"/>
  </si>
  <si>
    <t>E135-F375</t>
    <phoneticPr fontId="1"/>
  </si>
  <si>
    <t>E120-F330</t>
    <phoneticPr fontId="1"/>
  </si>
  <si>
    <t>E105-F300</t>
    <phoneticPr fontId="1"/>
  </si>
  <si>
    <t>E95-F285</t>
    <phoneticPr fontId="1"/>
  </si>
  <si>
    <t>E75-F255</t>
    <phoneticPr fontId="1"/>
  </si>
  <si>
    <t>E65-F240</t>
    <phoneticPr fontId="1"/>
  </si>
  <si>
    <t>E190-F510</t>
    <phoneticPr fontId="1"/>
  </si>
  <si>
    <t>E170-F450</t>
    <phoneticPr fontId="1"/>
  </si>
  <si>
    <t>E150-F390</t>
    <phoneticPr fontId="1"/>
  </si>
  <si>
    <t>E135-F345</t>
    <phoneticPr fontId="1"/>
  </si>
  <si>
    <t>E120-F300</t>
    <phoneticPr fontId="1"/>
  </si>
  <si>
    <t>E105-F285</t>
    <phoneticPr fontId="1"/>
  </si>
  <si>
    <t>E95-F270</t>
    <phoneticPr fontId="1"/>
  </si>
  <si>
    <t>E75-F240</t>
    <phoneticPr fontId="1"/>
  </si>
  <si>
    <t>E65-F225</t>
    <phoneticPr fontId="1"/>
  </si>
  <si>
    <t>E55-F200</t>
    <phoneticPr fontId="1"/>
  </si>
  <si>
    <t>ヤング係数</t>
    <rPh sb="3" eb="5">
      <t>ケイスウ</t>
    </rPh>
    <phoneticPr fontId="1"/>
  </si>
  <si>
    <t>E190</t>
    <phoneticPr fontId="1"/>
  </si>
  <si>
    <t>E170</t>
    <phoneticPr fontId="1"/>
  </si>
  <si>
    <t>E150</t>
    <phoneticPr fontId="1"/>
  </si>
  <si>
    <t>E135</t>
    <phoneticPr fontId="1"/>
  </si>
  <si>
    <t>E120</t>
    <phoneticPr fontId="1"/>
  </si>
  <si>
    <t>E105</t>
    <phoneticPr fontId="1"/>
  </si>
  <si>
    <t>E95</t>
    <phoneticPr fontId="1"/>
  </si>
  <si>
    <t>E75</t>
    <phoneticPr fontId="1"/>
  </si>
  <si>
    <t>E65</t>
    <phoneticPr fontId="1"/>
  </si>
  <si>
    <t>E55</t>
    <phoneticPr fontId="1"/>
  </si>
  <si>
    <t>A種構造用単板積層材</t>
    <rPh sb="1" eb="2">
      <t>シュ</t>
    </rPh>
    <rPh sb="2" eb="5">
      <t>コウゾウヨウ</t>
    </rPh>
    <rPh sb="5" eb="7">
      <t>タンイタ</t>
    </rPh>
    <rPh sb="7" eb="10">
      <t>セキソウザイ</t>
    </rPh>
    <phoneticPr fontId="1"/>
  </si>
  <si>
    <t>曲げヤング係数区分</t>
    <rPh sb="0" eb="1">
      <t>マ</t>
    </rPh>
    <rPh sb="5" eb="7">
      <t>ケイスウ</t>
    </rPh>
    <rPh sb="7" eb="9">
      <t>クブン</t>
    </rPh>
    <phoneticPr fontId="1"/>
  </si>
  <si>
    <t>160E</t>
    <phoneticPr fontId="1"/>
  </si>
  <si>
    <t>140E</t>
    <phoneticPr fontId="1"/>
  </si>
  <si>
    <t>120E</t>
    <phoneticPr fontId="1"/>
  </si>
  <si>
    <t>110E</t>
    <phoneticPr fontId="1"/>
  </si>
  <si>
    <t>100E</t>
    <phoneticPr fontId="1"/>
  </si>
  <si>
    <t>80E</t>
    <phoneticPr fontId="1"/>
  </si>
  <si>
    <t>70E</t>
    <phoneticPr fontId="1"/>
  </si>
  <si>
    <t>60E</t>
    <phoneticPr fontId="1"/>
  </si>
  <si>
    <t>50E</t>
    <phoneticPr fontId="1"/>
  </si>
  <si>
    <t>特級</t>
    <rPh sb="0" eb="2">
      <t>トッキュウ</t>
    </rPh>
    <phoneticPr fontId="1"/>
  </si>
  <si>
    <t>当該階の床面積</t>
    <phoneticPr fontId="1"/>
  </si>
  <si>
    <t>変数</t>
    <rPh sb="0" eb="2">
      <t>ヘンスウ</t>
    </rPh>
    <phoneticPr fontId="1"/>
  </si>
  <si>
    <t>変数の意味と算定方法</t>
    <rPh sb="0" eb="2">
      <t>ヘンスウ</t>
    </rPh>
    <rPh sb="3" eb="5">
      <t>イミ</t>
    </rPh>
    <rPh sb="6" eb="10">
      <t>サンテイホウホウ</t>
    </rPh>
    <phoneticPr fontId="1"/>
  </si>
  <si>
    <t>　</t>
    <phoneticPr fontId="1"/>
  </si>
  <si>
    <t>１．階の床面積に乗ずる数値の算出方法</t>
    <rPh sb="14" eb="18">
      <t>サンシュツホウホウ</t>
    </rPh>
    <phoneticPr fontId="1"/>
  </si>
  <si>
    <t>（１）2階建ての場合</t>
    <rPh sb="4" eb="6">
      <t>カイダ</t>
    </rPh>
    <rPh sb="8" eb="10">
      <t>バアイ</t>
    </rPh>
    <phoneticPr fontId="1"/>
  </si>
  <si>
    <t>（２）平屋建ての場合</t>
    <rPh sb="3" eb="5">
      <t>ヒラヤ</t>
    </rPh>
    <rPh sb="5" eb="6">
      <t>ダ</t>
    </rPh>
    <rPh sb="8" eb="10">
      <t>バアイ</t>
    </rPh>
    <phoneticPr fontId="1"/>
  </si>
  <si>
    <t>2階建ての2階部分が支える固定荷重と積載荷重の和</t>
    <rPh sb="1" eb="3">
      <t>カイダ</t>
    </rPh>
    <rPh sb="6" eb="7">
      <t>カイ</t>
    </rPh>
    <rPh sb="7" eb="9">
      <t>ブブン</t>
    </rPh>
    <rPh sb="10" eb="11">
      <t>ササ</t>
    </rPh>
    <rPh sb="13" eb="15">
      <t>コテイ</t>
    </rPh>
    <rPh sb="15" eb="17">
      <t>カジュウ</t>
    </rPh>
    <rPh sb="18" eb="20">
      <t>セキサイ</t>
    </rPh>
    <rPh sb="20" eb="22">
      <t>カジュウ</t>
    </rPh>
    <rPh sb="23" eb="24">
      <t>ワ</t>
    </rPh>
    <phoneticPr fontId="1"/>
  </si>
  <si>
    <t>2階建ての1階部分が支える固定荷重と積載荷重の和</t>
    <rPh sb="1" eb="3">
      <t>カイダ</t>
    </rPh>
    <rPh sb="6" eb="7">
      <t>カイ</t>
    </rPh>
    <rPh sb="7" eb="9">
      <t>ブブン</t>
    </rPh>
    <rPh sb="10" eb="11">
      <t>ササ</t>
    </rPh>
    <rPh sb="13" eb="15">
      <t>コテイ</t>
    </rPh>
    <rPh sb="15" eb="17">
      <t>カジュウ</t>
    </rPh>
    <rPh sb="18" eb="20">
      <t>セキサイ</t>
    </rPh>
    <rPh sb="20" eb="22">
      <t>カジュウ</t>
    </rPh>
    <rPh sb="23" eb="24">
      <t>ワ</t>
    </rPh>
    <phoneticPr fontId="1"/>
  </si>
  <si>
    <t>平屋建ての1階部分が支える固定荷重と積載荷重の和</t>
    <rPh sb="0" eb="2">
      <t>ヒラヤ</t>
    </rPh>
    <rPh sb="2" eb="3">
      <t>ダ</t>
    </rPh>
    <rPh sb="6" eb="7">
      <t>カイ</t>
    </rPh>
    <rPh sb="7" eb="9">
      <t>ブブン</t>
    </rPh>
    <rPh sb="10" eb="11">
      <t>ササ</t>
    </rPh>
    <rPh sb="13" eb="15">
      <t>コテイ</t>
    </rPh>
    <rPh sb="15" eb="17">
      <t>カジュウ</t>
    </rPh>
    <rPh sb="18" eb="20">
      <t>セキサイ</t>
    </rPh>
    <rPh sb="20" eb="22">
      <t>カジュウ</t>
    </rPh>
    <rPh sb="23" eb="24">
      <t>ワ</t>
    </rPh>
    <phoneticPr fontId="1"/>
  </si>
  <si>
    <t>変数の意味</t>
    <rPh sb="0" eb="2">
      <t>ヘンスウ</t>
    </rPh>
    <rPh sb="3" eb="5">
      <t>イミ</t>
    </rPh>
    <phoneticPr fontId="1"/>
  </si>
  <si>
    <t>当該階が支えている部分の固定荷重と積載荷重の和Σwiの算出方法は以下のとおりである。</t>
    <rPh sb="27" eb="29">
      <t>サンシュツ</t>
    </rPh>
    <rPh sb="29" eb="31">
      <t>ホウホウ</t>
    </rPh>
    <rPh sb="32" eb="34">
      <t>イカ</t>
    </rPh>
    <phoneticPr fontId="1"/>
  </si>
  <si>
    <t>任意入力</t>
    <rPh sb="0" eb="4">
      <t>ニンイニュウリョク</t>
    </rPh>
    <phoneticPr fontId="1"/>
  </si>
  <si>
    <t>あり(260）</t>
    <phoneticPr fontId="1"/>
  </si>
  <si>
    <t>なし(0)</t>
    <phoneticPr fontId="1"/>
  </si>
  <si>
    <t>あり(任意入力)</t>
    <rPh sb="3" eb="5">
      <t>ニンイ</t>
    </rPh>
    <rPh sb="5" eb="7">
      <t>ニュウリョク</t>
    </rPh>
    <phoneticPr fontId="1"/>
  </si>
  <si>
    <t>①</t>
    <phoneticPr fontId="1"/>
  </si>
  <si>
    <t>②</t>
    <phoneticPr fontId="1"/>
  </si>
  <si>
    <t>天井断熱材</t>
  </si>
  <si>
    <t>100（初期値）</t>
    <rPh sb="4" eb="7">
      <t>ショキチ</t>
    </rPh>
    <phoneticPr fontId="1"/>
  </si>
  <si>
    <t>70（初期値）</t>
    <rPh sb="3" eb="6">
      <t>ショキチ</t>
    </rPh>
    <phoneticPr fontId="1"/>
  </si>
  <si>
    <t>入力の注意点等</t>
    <rPh sb="0" eb="2">
      <t>ニュウリョク</t>
    </rPh>
    <rPh sb="3" eb="6">
      <t>チュウイテン</t>
    </rPh>
    <rPh sb="6" eb="7">
      <t>トウ</t>
    </rPh>
    <phoneticPr fontId="1"/>
  </si>
  <si>
    <t>1kg=9.8Nに修正</t>
    <rPh sb="9" eb="11">
      <t>シュウセイ</t>
    </rPh>
    <phoneticPr fontId="1"/>
  </si>
  <si>
    <t>厚さ(mm)</t>
    <rPh sb="0" eb="1">
      <t>アツ</t>
    </rPh>
    <phoneticPr fontId="1"/>
  </si>
  <si>
    <r>
      <t>密度(kg/m</t>
    </r>
    <r>
      <rPr>
        <vertAlign val="superscript"/>
        <sz val="11"/>
        <rFont val="Yu Gothic"/>
        <family val="3"/>
        <charset val="128"/>
        <scheme val="minor"/>
      </rPr>
      <t>3</t>
    </r>
    <r>
      <rPr>
        <sz val="11"/>
        <rFont val="Yu Gothic"/>
        <family val="3"/>
        <charset val="128"/>
        <scheme val="minor"/>
      </rPr>
      <t>)</t>
    </r>
    <rPh sb="0" eb="2">
      <t>ミツド</t>
    </rPh>
    <phoneticPr fontId="1"/>
  </si>
  <si>
    <t>③</t>
    <phoneticPr fontId="1"/>
  </si>
  <si>
    <t>④</t>
    <phoneticPr fontId="1"/>
  </si>
  <si>
    <t>1階の壁荷重</t>
    <phoneticPr fontId="1"/>
  </si>
  <si>
    <t>2階の壁荷重</t>
    <rPh sb="1" eb="2">
      <t>カイ</t>
    </rPh>
    <rPh sb="3" eb="4">
      <t>カベ</t>
    </rPh>
    <rPh sb="4" eb="6">
      <t>カジュウ</t>
    </rPh>
    <phoneticPr fontId="1"/>
  </si>
  <si>
    <t>2階の床荷重</t>
    <rPh sb="1" eb="2">
      <t>カイ</t>
    </rPh>
    <rPh sb="3" eb="4">
      <t>ユカ</t>
    </rPh>
    <rPh sb="4" eb="6">
      <t>カジュウ</t>
    </rPh>
    <phoneticPr fontId="1"/>
  </si>
  <si>
    <t>2階の屋根荷重</t>
    <phoneticPr fontId="1"/>
  </si>
  <si>
    <t>1階下屋の屋根荷重</t>
    <phoneticPr fontId="1"/>
  </si>
  <si>
    <t>⑤</t>
    <phoneticPr fontId="1"/>
  </si>
  <si>
    <t>2階が支えている部分の荷重</t>
    <rPh sb="1" eb="2">
      <t>カイ</t>
    </rPh>
    <rPh sb="11" eb="13">
      <t>カジュウ</t>
    </rPh>
    <phoneticPr fontId="1"/>
  </si>
  <si>
    <t>1階が支えている部分の荷重</t>
    <rPh sb="1" eb="2">
      <t>カイ</t>
    </rPh>
    <rPh sb="11" eb="13">
      <t>カジュウ</t>
    </rPh>
    <phoneticPr fontId="1"/>
  </si>
  <si>
    <t>床面積比</t>
    <rPh sb="0" eb="4">
      <t>ユカメンセキヒ</t>
    </rPh>
    <phoneticPr fontId="1"/>
  </si>
  <si>
    <t>kN/m2</t>
  </si>
  <si>
    <t>kN/m2</t>
    <phoneticPr fontId="1"/>
  </si>
  <si>
    <t>2階柱材①</t>
    <rPh sb="1" eb="2">
      <t>カイ</t>
    </rPh>
    <rPh sb="2" eb="3">
      <t>ハシラ</t>
    </rPh>
    <rPh sb="3" eb="4">
      <t>ザイ</t>
    </rPh>
    <phoneticPr fontId="1"/>
  </si>
  <si>
    <t>密度と厚さで設定可能。</t>
    <rPh sb="0" eb="2">
      <t>ミツド</t>
    </rPh>
    <rPh sb="3" eb="4">
      <t>アツ</t>
    </rPh>
    <rPh sb="6" eb="8">
      <t>セッテイ</t>
    </rPh>
    <rPh sb="8" eb="10">
      <t>カノウ</t>
    </rPh>
    <phoneticPr fontId="1"/>
  </si>
  <si>
    <t>1－1　階の床面積に乗ずる数値の算定式</t>
    <rPh sb="16" eb="19">
      <t>サンテイシキ</t>
    </rPh>
    <phoneticPr fontId="1"/>
  </si>
  <si>
    <t>表1－1　変数の算定式、入力されている値</t>
    <rPh sb="0" eb="1">
      <t>ヒョウ</t>
    </rPh>
    <rPh sb="5" eb="7">
      <t>ヘンスウ</t>
    </rPh>
    <rPh sb="8" eb="11">
      <t>サンテイシキ</t>
    </rPh>
    <rPh sb="12" eb="14">
      <t>ニュウリョク</t>
    </rPh>
    <rPh sb="19" eb="20">
      <t>アタイ</t>
    </rPh>
    <phoneticPr fontId="1"/>
  </si>
  <si>
    <t>表1－2　変数の算定式、入力されている値</t>
    <rPh sb="0" eb="1">
      <t>ヒョウ</t>
    </rPh>
    <rPh sb="5" eb="7">
      <t>ヘンスウ</t>
    </rPh>
    <rPh sb="8" eb="11">
      <t>サンテイシキ</t>
    </rPh>
    <rPh sb="12" eb="14">
      <t>ニュウリョク</t>
    </rPh>
    <rPh sb="19" eb="20">
      <t>アタイ</t>
    </rPh>
    <phoneticPr fontId="1"/>
  </si>
  <si>
    <t>表1－3　水平構面の固定荷重と積載荷重の数値と根拠</t>
    <rPh sb="0" eb="1">
      <t>ヒョウ</t>
    </rPh>
    <rPh sb="5" eb="7">
      <t>スイヘイ</t>
    </rPh>
    <rPh sb="7" eb="9">
      <t>コウメン</t>
    </rPh>
    <rPh sb="10" eb="14">
      <t>コテイカジュウ</t>
    </rPh>
    <rPh sb="15" eb="19">
      <t>セキサイカジュウ</t>
    </rPh>
    <rPh sb="20" eb="22">
      <t>スウチ</t>
    </rPh>
    <rPh sb="23" eb="25">
      <t>コンキョ</t>
    </rPh>
    <phoneticPr fontId="1"/>
  </si>
  <si>
    <t>ー</t>
    <phoneticPr fontId="1"/>
  </si>
  <si>
    <t>部位の面積当たりの荷重及び床面積当たりの荷重を表1－3に示す。</t>
    <rPh sb="0" eb="2">
      <t>ブイ</t>
    </rPh>
    <rPh sb="3" eb="5">
      <t>メンセキ</t>
    </rPh>
    <rPh sb="5" eb="6">
      <t>ア</t>
    </rPh>
    <rPh sb="9" eb="11">
      <t>カジュウ</t>
    </rPh>
    <rPh sb="11" eb="12">
      <t>オヨ</t>
    </rPh>
    <rPh sb="13" eb="16">
      <t>ユカメンセキ</t>
    </rPh>
    <rPh sb="16" eb="17">
      <t>ア</t>
    </rPh>
    <rPh sb="20" eb="22">
      <t>カジュウ</t>
    </rPh>
    <rPh sb="23" eb="24">
      <t>ヒョウ</t>
    </rPh>
    <rPh sb="28" eb="29">
      <t>シメ</t>
    </rPh>
    <phoneticPr fontId="1"/>
  </si>
  <si>
    <t>太陽光発電設備等の全重量／1階床面積と2階床面積のうち大きい方の面積</t>
    <rPh sb="0" eb="3">
      <t>タイヨウコウ</t>
    </rPh>
    <rPh sb="3" eb="5">
      <t>ハツデン</t>
    </rPh>
    <rPh sb="5" eb="7">
      <t>セツビ</t>
    </rPh>
    <rPh sb="7" eb="8">
      <t>トウ</t>
    </rPh>
    <rPh sb="9" eb="12">
      <t>ゼンジュウリョウ</t>
    </rPh>
    <rPh sb="14" eb="15">
      <t>カイ</t>
    </rPh>
    <rPh sb="15" eb="18">
      <t>ユカメンセキ</t>
    </rPh>
    <rPh sb="20" eb="21">
      <t>カイ</t>
    </rPh>
    <rPh sb="21" eb="24">
      <t>ユカメンセキ</t>
    </rPh>
    <rPh sb="27" eb="28">
      <t>オオ</t>
    </rPh>
    <rPh sb="30" eb="31">
      <t>ホウ</t>
    </rPh>
    <rPh sb="32" eb="34">
      <t>メンセキ</t>
    </rPh>
    <phoneticPr fontId="1"/>
  </si>
  <si>
    <t>左記の値×1.3</t>
    <rPh sb="0" eb="2">
      <t>サキ</t>
    </rPh>
    <rPh sb="3" eb="4">
      <t>アタイ</t>
    </rPh>
    <phoneticPr fontId="1"/>
  </si>
  <si>
    <t>密度×厚さ</t>
    <rPh sb="0" eb="2">
      <t>ミツド</t>
    </rPh>
    <rPh sb="3" eb="4">
      <t>アツ</t>
    </rPh>
    <phoneticPr fontId="1"/>
  </si>
  <si>
    <t>表1－4　変数の算定式、入力されている値</t>
    <rPh sb="0" eb="1">
      <t>ヒョウ</t>
    </rPh>
    <rPh sb="5" eb="7">
      <t>ヘンスウ</t>
    </rPh>
    <rPh sb="8" eb="11">
      <t>サンテイシキ</t>
    </rPh>
    <rPh sb="12" eb="14">
      <t>ニュウリョク</t>
    </rPh>
    <rPh sb="19" eb="20">
      <t>アタイ</t>
    </rPh>
    <phoneticPr fontId="1"/>
  </si>
  <si>
    <t>X</t>
    <phoneticPr fontId="1"/>
  </si>
  <si>
    <t>Y</t>
    <phoneticPr fontId="1"/>
  </si>
  <si>
    <t>i階の階高（m）</t>
    <rPh sb="1" eb="2">
      <t>カイ</t>
    </rPh>
    <rPh sb="3" eb="5">
      <t>カイダカ</t>
    </rPh>
    <phoneticPr fontId="1"/>
  </si>
  <si>
    <t>W</t>
    <phoneticPr fontId="1"/>
  </si>
  <si>
    <t>壁面積当たりの荷重及び床面積当たりの荷重の計算結果は表1－5のとおりである。なお、床面積当たりの荷重は、階高2.8m時の例である。</t>
    <rPh sb="0" eb="1">
      <t>カベ</t>
    </rPh>
    <rPh sb="1" eb="3">
      <t>メンセキ</t>
    </rPh>
    <rPh sb="3" eb="4">
      <t>ア</t>
    </rPh>
    <rPh sb="7" eb="9">
      <t>カジュウ</t>
    </rPh>
    <rPh sb="9" eb="10">
      <t>オヨ</t>
    </rPh>
    <rPh sb="11" eb="14">
      <t>ユカメンセキ</t>
    </rPh>
    <rPh sb="14" eb="15">
      <t>ア</t>
    </rPh>
    <rPh sb="18" eb="20">
      <t>カジュウ</t>
    </rPh>
    <rPh sb="21" eb="23">
      <t>ケイサン</t>
    </rPh>
    <rPh sb="23" eb="25">
      <t>ケッカ</t>
    </rPh>
    <rPh sb="26" eb="27">
      <t>ヒョウ</t>
    </rPh>
    <rPh sb="41" eb="44">
      <t>ユカメンセキ</t>
    </rPh>
    <rPh sb="44" eb="45">
      <t>ア</t>
    </rPh>
    <rPh sb="48" eb="50">
      <t>カジュウ</t>
    </rPh>
    <rPh sb="52" eb="54">
      <t>カイダカ</t>
    </rPh>
    <rPh sb="58" eb="59">
      <t>ジ</t>
    </rPh>
    <rPh sb="60" eb="61">
      <t>レイ</t>
    </rPh>
    <phoneticPr fontId="1"/>
  </si>
  <si>
    <t>外壁及び壁断熱材の床面積当たりの荷重は、下式のとおり算出する。</t>
    <rPh sb="0" eb="2">
      <t>ガイヘキ</t>
    </rPh>
    <rPh sb="2" eb="3">
      <t>オヨ</t>
    </rPh>
    <rPh sb="4" eb="8">
      <t>カベダンネツザイ</t>
    </rPh>
    <rPh sb="9" eb="12">
      <t>ユカメンセキ</t>
    </rPh>
    <rPh sb="12" eb="13">
      <t>ア</t>
    </rPh>
    <rPh sb="16" eb="18">
      <t>カジュウ</t>
    </rPh>
    <rPh sb="20" eb="21">
      <t>シタ</t>
    </rPh>
    <rPh sb="21" eb="22">
      <t>シキ</t>
    </rPh>
    <rPh sb="26" eb="28">
      <t>サンシュツ</t>
    </rPh>
    <phoneticPr fontId="1"/>
  </si>
  <si>
    <t>2．柱の小径の算出方法</t>
    <rPh sb="2" eb="3">
      <t>ハシラ</t>
    </rPh>
    <rPh sb="4" eb="6">
      <t>ショウケイ</t>
    </rPh>
    <rPh sb="7" eb="11">
      <t>サンシュツホウホウ</t>
    </rPh>
    <phoneticPr fontId="1"/>
  </si>
  <si>
    <t>※２より床面積あたりの荷重を引用した。階高を変更する場合には、200×hi／2.8として算出する。</t>
    <rPh sb="4" eb="7">
      <t>ユカメンセキ</t>
    </rPh>
    <rPh sb="11" eb="13">
      <t>カジュウ</t>
    </rPh>
    <rPh sb="14" eb="16">
      <t>インヨウ</t>
    </rPh>
    <rPh sb="19" eb="21">
      <t>カイダカ</t>
    </rPh>
    <rPh sb="22" eb="24">
      <t>ヘンコウ</t>
    </rPh>
    <rPh sb="26" eb="28">
      <t>バアイ</t>
    </rPh>
    <rPh sb="44" eb="46">
      <t>サンシュツ</t>
    </rPh>
    <phoneticPr fontId="1"/>
  </si>
  <si>
    <t>ｌ</t>
    <phoneticPr fontId="1"/>
  </si>
  <si>
    <t>柱の必要小径（㎜）</t>
    <rPh sb="0" eb="1">
      <t>ハシラ</t>
    </rPh>
    <rPh sb="2" eb="4">
      <t>ヒツヨウ</t>
    </rPh>
    <rPh sb="4" eb="6">
      <t>ショウケイ</t>
    </rPh>
    <phoneticPr fontId="1"/>
  </si>
  <si>
    <t>外周柱の床面積当たりの負担荷重</t>
    <rPh sb="0" eb="2">
      <t>ガイシュウ</t>
    </rPh>
    <rPh sb="2" eb="3">
      <t>ハシラ</t>
    </rPh>
    <rPh sb="4" eb="7">
      <t>ユカメンセキ</t>
    </rPh>
    <rPh sb="7" eb="8">
      <t>ア</t>
    </rPh>
    <rPh sb="11" eb="15">
      <t>フタンカジュウ</t>
    </rPh>
    <phoneticPr fontId="1"/>
  </si>
  <si>
    <t>内部柱の床面積当たりの負担荷重</t>
    <rPh sb="0" eb="2">
      <t>ナイブ</t>
    </rPh>
    <rPh sb="2" eb="3">
      <t>ハシラ</t>
    </rPh>
    <rPh sb="4" eb="7">
      <t>ユカメンセキ</t>
    </rPh>
    <rPh sb="7" eb="8">
      <t>ア</t>
    </rPh>
    <rPh sb="11" eb="15">
      <t>フタンカジュウ</t>
    </rPh>
    <phoneticPr fontId="1"/>
  </si>
  <si>
    <t>柱の荷重負担面積（m2）</t>
    <rPh sb="0" eb="1">
      <t>ハシラ</t>
    </rPh>
    <rPh sb="2" eb="8">
      <t>カジュウフタンメンセキ</t>
    </rPh>
    <phoneticPr fontId="1"/>
  </si>
  <si>
    <t>床面積当たりの負担荷重（kN/m2）</t>
    <rPh sb="0" eb="3">
      <t>ユカメンセキ</t>
    </rPh>
    <rPh sb="3" eb="4">
      <t>ア</t>
    </rPh>
    <rPh sb="7" eb="11">
      <t>フタンカジュウ</t>
    </rPh>
    <phoneticPr fontId="1"/>
  </si>
  <si>
    <t>l／8.66</t>
    <phoneticPr fontId="1"/>
  </si>
  <si>
    <t>l／52.70</t>
    <phoneticPr fontId="1"/>
  </si>
  <si>
    <t>√ｗｄAe/（Kd/3・Fc）</t>
    <phoneticPr fontId="1"/>
  </si>
  <si>
    <t>1階柱材①</t>
    <rPh sb="1" eb="2">
      <t>カイ</t>
    </rPh>
    <rPh sb="2" eb="4">
      <t>ハシラザイ</t>
    </rPh>
    <phoneticPr fontId="1"/>
  </si>
  <si>
    <t>1階柱材②</t>
    <rPh sb="1" eb="2">
      <t>カイ</t>
    </rPh>
    <rPh sb="2" eb="4">
      <t>ハシラザイ</t>
    </rPh>
    <phoneticPr fontId="1"/>
  </si>
  <si>
    <t>樹種※</t>
    <rPh sb="0" eb="2">
      <t>ジュシュ</t>
    </rPh>
    <phoneticPr fontId="1"/>
  </si>
  <si>
    <t>2階柱材②</t>
    <rPh sb="1" eb="2">
      <t>カイ</t>
    </rPh>
    <rPh sb="2" eb="4">
      <t>ハシラザイ</t>
    </rPh>
    <phoneticPr fontId="1"/>
  </si>
  <si>
    <t>1階柱材③</t>
    <rPh sb="1" eb="2">
      <t>カイ</t>
    </rPh>
    <rPh sb="2" eb="4">
      <t>ハシラザイ</t>
    </rPh>
    <phoneticPr fontId="1"/>
  </si>
  <si>
    <t>2階柱材③</t>
    <rPh sb="1" eb="2">
      <t>カイ</t>
    </rPh>
    <rPh sb="2" eb="4">
      <t>ハシラザイ</t>
    </rPh>
    <phoneticPr fontId="1"/>
  </si>
  <si>
    <t>出力結果</t>
    <rPh sb="0" eb="4">
      <t>シュツリョクケッカ</t>
    </rPh>
    <phoneticPr fontId="1"/>
  </si>
  <si>
    <t>入力値</t>
    <rPh sb="0" eb="3">
      <t>ニュウリョクチ</t>
    </rPh>
    <phoneticPr fontId="1"/>
  </si>
  <si>
    <t>柱の小径
(㎜以上)</t>
    <rPh sb="0" eb="1">
      <t>ハシラ</t>
    </rPh>
    <rPh sb="2" eb="4">
      <t>ショウケイ</t>
    </rPh>
    <rPh sb="7" eb="9">
      <t>イジョウ</t>
    </rPh>
    <phoneticPr fontId="1"/>
  </si>
  <si>
    <t>長辺(㎜)</t>
    <rPh sb="0" eb="2">
      <t>チョウヘン</t>
    </rPh>
    <phoneticPr fontId="1"/>
  </si>
  <si>
    <t>短辺(㎜)</t>
    <rPh sb="0" eb="2">
      <t>タンペン</t>
    </rPh>
    <phoneticPr fontId="1"/>
  </si>
  <si>
    <t>任意入力①</t>
    <rPh sb="0" eb="2">
      <t>ニンイ</t>
    </rPh>
    <rPh sb="2" eb="4">
      <t>ニュウリョク</t>
    </rPh>
    <phoneticPr fontId="1"/>
  </si>
  <si>
    <t>任意入力②</t>
    <rPh sb="0" eb="4">
      <t>ニンイニュウリョク</t>
    </rPh>
    <phoneticPr fontId="1"/>
  </si>
  <si>
    <t>細長比λ</t>
    <rPh sb="0" eb="3">
      <t>ホソナガヒ</t>
    </rPh>
    <phoneticPr fontId="1"/>
  </si>
  <si>
    <t>座屈低減係数</t>
    <rPh sb="0" eb="2">
      <t>ザクツ</t>
    </rPh>
    <rPh sb="2" eb="6">
      <t>テイゲンケイスウ</t>
    </rPh>
    <phoneticPr fontId="1"/>
  </si>
  <si>
    <t>任意入力②</t>
    <rPh sb="0" eb="2">
      <t>ニンイ</t>
    </rPh>
    <rPh sb="2" eb="4">
      <t>ニュウリョク</t>
    </rPh>
    <phoneticPr fontId="1"/>
  </si>
  <si>
    <t>座屈方向の材せい</t>
    <rPh sb="0" eb="2">
      <t>ザクツ</t>
    </rPh>
    <rPh sb="2" eb="4">
      <t>ホウコウ</t>
    </rPh>
    <rPh sb="5" eb="6">
      <t>ザイ</t>
    </rPh>
    <phoneticPr fontId="1"/>
  </si>
  <si>
    <t xml:space="preserve">    １）2階建ての場合</t>
    <rPh sb="7" eb="9">
      <t>カイダ</t>
    </rPh>
    <rPh sb="11" eb="13">
      <t>バアイ</t>
    </rPh>
    <phoneticPr fontId="1"/>
  </si>
  <si>
    <t xml:space="preserve">   ２）平屋建ての場合</t>
    <rPh sb="5" eb="7">
      <t>ヒラヤ</t>
    </rPh>
    <rPh sb="7" eb="8">
      <t>ダ</t>
    </rPh>
    <rPh sb="10" eb="12">
      <t>バアイ</t>
    </rPh>
    <phoneticPr fontId="1"/>
  </si>
  <si>
    <r>
      <t>床面積当たりの荷重(N/m</t>
    </r>
    <r>
      <rPr>
        <vertAlign val="superscript"/>
        <sz val="9"/>
        <color theme="1"/>
        <rFont val="Yu Gothic"/>
        <family val="3"/>
        <charset val="128"/>
        <scheme val="minor"/>
      </rPr>
      <t>2</t>
    </r>
    <r>
      <rPr>
        <sz val="9"/>
        <color theme="1"/>
        <rFont val="Yu Gothic"/>
        <family val="3"/>
        <charset val="128"/>
        <scheme val="minor"/>
      </rPr>
      <t>)</t>
    </r>
    <rPh sb="0" eb="3">
      <t>ユカメンセキ</t>
    </rPh>
    <rPh sb="3" eb="4">
      <t>ア</t>
    </rPh>
    <rPh sb="7" eb="9">
      <t>カジュウ</t>
    </rPh>
    <phoneticPr fontId="1"/>
  </si>
  <si>
    <t>木造</t>
    <rPh sb="0" eb="2">
      <t>モクゾウ</t>
    </rPh>
    <phoneticPr fontId="1"/>
  </si>
  <si>
    <t>プルダウン選択</t>
    <rPh sb="5" eb="7">
      <t>センタク</t>
    </rPh>
    <phoneticPr fontId="1"/>
  </si>
  <si>
    <t>（１）　柱の座屈の検討による柱の負担可能面積の算出方法</t>
    <rPh sb="4" eb="5">
      <t>ハシラ</t>
    </rPh>
    <rPh sb="6" eb="8">
      <t>ザクツ</t>
    </rPh>
    <rPh sb="9" eb="11">
      <t>ケントウ</t>
    </rPh>
    <rPh sb="14" eb="15">
      <t>ハシラ</t>
    </rPh>
    <rPh sb="16" eb="22">
      <t>フタンカノウメンセキ</t>
    </rPh>
    <phoneticPr fontId="1"/>
  </si>
  <si>
    <r>
      <t>ｄ</t>
    </r>
    <r>
      <rPr>
        <i/>
        <vertAlign val="subscript"/>
        <sz val="11"/>
        <color theme="1"/>
        <rFont val="Yu Gothic"/>
        <family val="3"/>
        <charset val="128"/>
        <scheme val="minor"/>
      </rPr>
      <t>b</t>
    </r>
    <phoneticPr fontId="1"/>
  </si>
  <si>
    <t>柱の座屈方向の材せい（㎜）</t>
    <rPh sb="0" eb="1">
      <t>ハシラ</t>
    </rPh>
    <rPh sb="2" eb="4">
      <t>ザクツ</t>
    </rPh>
    <rPh sb="4" eb="6">
      <t>ホウコウ</t>
    </rPh>
    <rPh sb="7" eb="8">
      <t>ザイ</t>
    </rPh>
    <phoneticPr fontId="1"/>
  </si>
  <si>
    <t>出力結果：柱の負担可能面積（m2）</t>
    <rPh sb="0" eb="4">
      <t>シュツリョクケッカ</t>
    </rPh>
    <rPh sb="5" eb="6">
      <t>ハシラ</t>
    </rPh>
    <rPh sb="7" eb="11">
      <t>フタンカノウ</t>
    </rPh>
    <rPh sb="11" eb="13">
      <t>メンセキ</t>
    </rPh>
    <phoneticPr fontId="1"/>
  </si>
  <si>
    <r>
      <t>A</t>
    </r>
    <r>
      <rPr>
        <i/>
        <vertAlign val="subscript"/>
        <sz val="11"/>
        <color theme="1"/>
        <rFont val="Yu Gothic"/>
        <family val="3"/>
        <charset val="128"/>
        <scheme val="minor"/>
      </rPr>
      <t>a</t>
    </r>
    <phoneticPr fontId="1"/>
  </si>
  <si>
    <r>
      <t>A</t>
    </r>
    <r>
      <rPr>
        <i/>
        <vertAlign val="subscript"/>
        <sz val="11"/>
        <color theme="1"/>
        <rFont val="Yu Gothic"/>
        <family val="3"/>
        <charset val="128"/>
        <scheme val="minor"/>
      </rPr>
      <t xml:space="preserve">ce </t>
    </r>
    <phoneticPr fontId="1"/>
  </si>
  <si>
    <t>1階の屋根荷重</t>
    <phoneticPr fontId="1"/>
  </si>
  <si>
    <t>1階の壁荷重</t>
    <rPh sb="1" eb="2">
      <t>カイ</t>
    </rPh>
    <rPh sb="3" eb="4">
      <t>カベ</t>
    </rPh>
    <rPh sb="4" eb="6">
      <t>カジュウ</t>
    </rPh>
    <phoneticPr fontId="1"/>
  </si>
  <si>
    <t>JAS目視等級区分構造用製材</t>
    <phoneticPr fontId="1"/>
  </si>
  <si>
    <t>無等級材</t>
    <phoneticPr fontId="1"/>
  </si>
  <si>
    <t>JAS規格</t>
    <rPh sb="3" eb="5">
      <t>キカク</t>
    </rPh>
    <phoneticPr fontId="1"/>
  </si>
  <si>
    <t>樹種等</t>
    <rPh sb="0" eb="2">
      <t>ジュシュ</t>
    </rPh>
    <rPh sb="2" eb="3">
      <t>トウ</t>
    </rPh>
    <phoneticPr fontId="1"/>
  </si>
  <si>
    <t>無等級材</t>
  </si>
  <si>
    <t>ひば</t>
  </si>
  <si>
    <t>ひのき</t>
  </si>
  <si>
    <t>JAS同一等級構成集成材</t>
  </si>
  <si>
    <t>JAS同一等級構成集成材</t>
    <phoneticPr fontId="1"/>
  </si>
  <si>
    <t>JAS機械等級区分構造用製材</t>
    <rPh sb="3" eb="5">
      <t>キカイ</t>
    </rPh>
    <rPh sb="5" eb="7">
      <t>トウキュウ</t>
    </rPh>
    <rPh sb="7" eb="9">
      <t>クブン</t>
    </rPh>
    <rPh sb="9" eb="12">
      <t>コウゾウヨウ</t>
    </rPh>
    <rPh sb="12" eb="14">
      <t>セイザイ</t>
    </rPh>
    <phoneticPr fontId="1"/>
  </si>
  <si>
    <t>えぞまつ</t>
    <phoneticPr fontId="1"/>
  </si>
  <si>
    <t>とどまつ</t>
    <phoneticPr fontId="1"/>
  </si>
  <si>
    <t>くろまつ</t>
    <phoneticPr fontId="1"/>
  </si>
  <si>
    <t>べいひ</t>
    <phoneticPr fontId="1"/>
  </si>
  <si>
    <t>べいひば</t>
    <phoneticPr fontId="1"/>
  </si>
  <si>
    <t>つが</t>
    <phoneticPr fontId="1"/>
  </si>
  <si>
    <t>もみ</t>
    <phoneticPr fontId="1"/>
  </si>
  <si>
    <t>べにまつ</t>
    <phoneticPr fontId="1"/>
  </si>
  <si>
    <t>べいすぎ</t>
    <phoneticPr fontId="1"/>
  </si>
  <si>
    <t>スプルース</t>
    <phoneticPr fontId="1"/>
  </si>
  <si>
    <t>くり</t>
    <phoneticPr fontId="1"/>
  </si>
  <si>
    <t>なら</t>
    <phoneticPr fontId="1"/>
  </si>
  <si>
    <t>ぶな</t>
    <phoneticPr fontId="1"/>
  </si>
  <si>
    <t>けやき</t>
    <phoneticPr fontId="1"/>
  </si>
  <si>
    <t>JASA種構造用単板積層材</t>
  </si>
  <si>
    <t>JASA種構造用単板積層材</t>
    <phoneticPr fontId="1"/>
  </si>
  <si>
    <t>機械</t>
    <rPh sb="0" eb="2">
      <t>キカイ</t>
    </rPh>
    <phoneticPr fontId="1"/>
  </si>
  <si>
    <t>目視</t>
    <rPh sb="0" eb="2">
      <t>モクシ</t>
    </rPh>
    <phoneticPr fontId="1"/>
  </si>
  <si>
    <t>無等級</t>
    <rPh sb="0" eb="1">
      <t>ム</t>
    </rPh>
    <rPh sb="1" eb="3">
      <t>トウキュウ</t>
    </rPh>
    <phoneticPr fontId="1"/>
  </si>
  <si>
    <t>集成材</t>
    <rPh sb="0" eb="3">
      <t>シュウセイザイ</t>
    </rPh>
    <phoneticPr fontId="1"/>
  </si>
  <si>
    <t>LVL</t>
    <phoneticPr fontId="1"/>
  </si>
  <si>
    <t>(4層以上)</t>
    <rPh sb="2" eb="3">
      <t>ソウ</t>
    </rPh>
    <rPh sb="3" eb="5">
      <t>イジョウ</t>
    </rPh>
    <phoneticPr fontId="1"/>
  </si>
  <si>
    <t>(3層)</t>
    <rPh sb="2" eb="3">
      <t>ソウ</t>
    </rPh>
    <phoneticPr fontId="1"/>
  </si>
  <si>
    <t>(2層)</t>
    <rPh sb="2" eb="3">
      <t>ソウ</t>
    </rPh>
    <phoneticPr fontId="1"/>
  </si>
  <si>
    <t>等級等(積層数)</t>
    <rPh sb="0" eb="2">
      <t>トウキュウ</t>
    </rPh>
    <rPh sb="2" eb="3">
      <t>トウ</t>
    </rPh>
    <rPh sb="4" eb="7">
      <t>セキソウスウ</t>
    </rPh>
    <phoneticPr fontId="1"/>
  </si>
  <si>
    <t>柱材の種類</t>
    <rPh sb="0" eb="2">
      <t>ハシラザイ</t>
    </rPh>
    <rPh sb="3" eb="5">
      <t>シュルイ</t>
    </rPh>
    <phoneticPr fontId="1"/>
  </si>
  <si>
    <t>長辺・短辺（㎜）</t>
    <rPh sb="0" eb="2">
      <t>チョウヘン</t>
    </rPh>
    <rPh sb="3" eb="5">
      <t>タンペン</t>
    </rPh>
    <phoneticPr fontId="1"/>
  </si>
  <si>
    <t>えぞまつ</t>
  </si>
  <si>
    <t>とどまつ</t>
  </si>
  <si>
    <t>べにまつ</t>
    <phoneticPr fontId="1"/>
  </si>
  <si>
    <t>すぎ</t>
    <phoneticPr fontId="1"/>
  </si>
  <si>
    <t>べいすぎ</t>
    <phoneticPr fontId="1"/>
  </si>
  <si>
    <t>スプルース</t>
    <phoneticPr fontId="1"/>
  </si>
  <si>
    <t>2階
内部
の柱</t>
    <rPh sb="1" eb="2">
      <t>カイ</t>
    </rPh>
    <rPh sb="3" eb="5">
      <t>ナイブ</t>
    </rPh>
    <rPh sb="7" eb="8">
      <t>ハシラ</t>
    </rPh>
    <phoneticPr fontId="1"/>
  </si>
  <si>
    <t>1階
内部
の柱</t>
    <rPh sb="1" eb="2">
      <t>カイ</t>
    </rPh>
    <rPh sb="3" eb="5">
      <t>ナイブ</t>
    </rPh>
    <rPh sb="7" eb="8">
      <t>ハシラ</t>
    </rPh>
    <phoneticPr fontId="1"/>
  </si>
  <si>
    <t>2階
外周部
の柱*</t>
    <rPh sb="1" eb="2">
      <t>カイ</t>
    </rPh>
    <rPh sb="3" eb="5">
      <t>ガイシュウ</t>
    </rPh>
    <rPh sb="5" eb="6">
      <t>ブ</t>
    </rPh>
    <rPh sb="8" eb="9">
      <t>ハシラ</t>
    </rPh>
    <phoneticPr fontId="1"/>
  </si>
  <si>
    <t>1階
外周部
の柱*</t>
    <rPh sb="1" eb="2">
      <t>カイ</t>
    </rPh>
    <rPh sb="3" eb="5">
      <t>ガイシュウ</t>
    </rPh>
    <rPh sb="5" eb="6">
      <t>ブ</t>
    </rPh>
    <rPh sb="8" eb="9">
      <t>ハシラ</t>
    </rPh>
    <phoneticPr fontId="1"/>
  </si>
  <si>
    <t>グループ</t>
    <phoneticPr fontId="1"/>
  </si>
  <si>
    <r>
      <t>太陽光発電設備等(N/m</t>
    </r>
    <r>
      <rPr>
        <vertAlign val="superscript"/>
        <sz val="11"/>
        <color theme="1"/>
        <rFont val="Yu Gothic"/>
        <family val="3"/>
        <charset val="128"/>
        <scheme val="minor"/>
      </rPr>
      <t>2</t>
    </r>
    <r>
      <rPr>
        <sz val="11"/>
        <color theme="1"/>
        <rFont val="Yu Gothic"/>
        <family val="2"/>
        <scheme val="minor"/>
      </rPr>
      <t>)</t>
    </r>
    <rPh sb="0" eb="3">
      <t>タイヨウコウ</t>
    </rPh>
    <rPh sb="3" eb="5">
      <t>ハツデン</t>
    </rPh>
    <rPh sb="5" eb="7">
      <t>セツビ</t>
    </rPh>
    <rPh sb="7" eb="8">
      <t>トウ</t>
    </rPh>
    <phoneticPr fontId="1"/>
  </si>
  <si>
    <r>
      <t>天井断熱材(N/m</t>
    </r>
    <r>
      <rPr>
        <vertAlign val="superscript"/>
        <sz val="11"/>
        <color theme="1"/>
        <rFont val="Yu Gothic"/>
        <family val="3"/>
        <charset val="128"/>
        <scheme val="minor"/>
      </rPr>
      <t>2</t>
    </r>
    <r>
      <rPr>
        <sz val="11"/>
        <color theme="1"/>
        <rFont val="Yu Gothic"/>
        <family val="2"/>
        <scheme val="minor"/>
      </rPr>
      <t>)</t>
    </r>
    <phoneticPr fontId="1"/>
  </si>
  <si>
    <r>
      <t>外壁断熱材(N/m</t>
    </r>
    <r>
      <rPr>
        <vertAlign val="superscript"/>
        <sz val="11"/>
        <color theme="1"/>
        <rFont val="Yu Gothic"/>
        <family val="3"/>
        <charset val="128"/>
        <scheme val="minor"/>
      </rPr>
      <t>2</t>
    </r>
    <r>
      <rPr>
        <sz val="11"/>
        <color theme="1"/>
        <rFont val="Yu Gothic"/>
        <family val="2"/>
        <scheme val="minor"/>
      </rPr>
      <t>)</t>
    </r>
    <rPh sb="0" eb="2">
      <t>ガイヘキ</t>
    </rPh>
    <phoneticPr fontId="1"/>
  </si>
  <si>
    <t>階</t>
    <phoneticPr fontId="1"/>
  </si>
  <si>
    <r>
      <t>標準せん断力係数C</t>
    </r>
    <r>
      <rPr>
        <vertAlign val="subscript"/>
        <sz val="11"/>
        <color theme="1"/>
        <rFont val="Yu Gothic"/>
        <family val="3"/>
        <charset val="128"/>
        <scheme val="minor"/>
      </rPr>
      <t>0</t>
    </r>
    <rPh sb="0" eb="2">
      <t>ヒョウジュン</t>
    </rPh>
    <rPh sb="4" eb="5">
      <t>ダン</t>
    </rPh>
    <rPh sb="5" eb="6">
      <t>チカラ</t>
    </rPh>
    <rPh sb="6" eb="8">
      <t>ケイスウ</t>
    </rPh>
    <phoneticPr fontId="1"/>
  </si>
  <si>
    <r>
      <t>断熱材の密度と厚さを任意入力したい場合は、「任意入力」をプルダウン選択し、右欄</t>
    </r>
    <r>
      <rPr>
        <b/>
        <sz val="9"/>
        <color theme="9" tint="-0.249977111117893"/>
        <rFont val="Yu Gothic"/>
        <family val="3"/>
        <charset val="128"/>
        <scheme val="minor"/>
      </rPr>
      <t>(緑)</t>
    </r>
    <r>
      <rPr>
        <sz val="9"/>
        <color theme="1"/>
        <rFont val="Yu Gothic"/>
        <family val="3"/>
        <charset val="128"/>
        <scheme val="minor"/>
      </rPr>
      <t>に値を入力する。</t>
    </r>
    <rPh sb="0" eb="3">
      <t>ダンネツザイ</t>
    </rPh>
    <rPh sb="4" eb="6">
      <t>ミツド</t>
    </rPh>
    <rPh sb="7" eb="8">
      <t>アツ</t>
    </rPh>
    <rPh sb="10" eb="12">
      <t>ニンイ</t>
    </rPh>
    <rPh sb="12" eb="14">
      <t>ニュウリョク</t>
    </rPh>
    <rPh sb="17" eb="19">
      <t>バアイ</t>
    </rPh>
    <rPh sb="22" eb="24">
      <t>ニンイ</t>
    </rPh>
    <rPh sb="24" eb="26">
      <t>ニュウリョク</t>
    </rPh>
    <rPh sb="33" eb="35">
      <t>センタク</t>
    </rPh>
    <rPh sb="37" eb="39">
      <t>ミギラン</t>
    </rPh>
    <rPh sb="43" eb="44">
      <t>アタイ</t>
    </rPh>
    <rPh sb="45" eb="47">
      <t>ニュウリョク</t>
    </rPh>
    <phoneticPr fontId="1"/>
  </si>
  <si>
    <r>
      <t>※使い方：</t>
    </r>
    <r>
      <rPr>
        <b/>
        <sz val="11"/>
        <color theme="9" tint="-0.249977111117893"/>
        <rFont val="HG丸ｺﾞｼｯｸM-PRO"/>
        <family val="3"/>
        <charset val="128"/>
      </rPr>
      <t>緑</t>
    </r>
    <r>
      <rPr>
        <sz val="11"/>
        <color theme="1"/>
        <rFont val="HG丸ｺﾞｼｯｸM-PRO"/>
        <family val="3"/>
        <charset val="128"/>
      </rPr>
      <t>の枠に必要事項を入力すると</t>
    </r>
    <r>
      <rPr>
        <b/>
        <sz val="11"/>
        <color theme="5" tint="-0.249977111117893"/>
        <rFont val="HG丸ｺﾞｼｯｸM-PRO"/>
        <family val="3"/>
        <charset val="128"/>
      </rPr>
      <t>オレンジ</t>
    </r>
    <r>
      <rPr>
        <sz val="11"/>
        <color theme="1"/>
        <rFont val="HG丸ｺﾞｼｯｸM-PRO"/>
        <family val="3"/>
        <charset val="128"/>
      </rPr>
      <t>の枠に結果が出力されます。</t>
    </r>
    <rPh sb="1" eb="2">
      <t>ツカ</t>
    </rPh>
    <rPh sb="3" eb="4">
      <t>カタ</t>
    </rPh>
    <rPh sb="5" eb="6">
      <t>ミドリ</t>
    </rPh>
    <rPh sb="7" eb="8">
      <t>ワク</t>
    </rPh>
    <rPh sb="9" eb="13">
      <t>ヒツヨウジコウ</t>
    </rPh>
    <rPh sb="14" eb="16">
      <t>ニュウリョク</t>
    </rPh>
    <rPh sb="24" eb="25">
      <t>ワク</t>
    </rPh>
    <rPh sb="26" eb="28">
      <t>ケッカ</t>
    </rPh>
    <rPh sb="29" eb="31">
      <t>シュツリョク</t>
    </rPh>
    <phoneticPr fontId="1"/>
  </si>
  <si>
    <t>有効細長比</t>
    <rPh sb="0" eb="5">
      <t>ユウコウホソナガヒ</t>
    </rPh>
    <phoneticPr fontId="1"/>
  </si>
  <si>
    <t>座屈計算</t>
    <rPh sb="0" eb="2">
      <t>ザクツ</t>
    </rPh>
    <rPh sb="2" eb="4">
      <t>ケイサン</t>
    </rPh>
    <phoneticPr fontId="1"/>
  </si>
  <si>
    <t>座屈計算</t>
    <rPh sb="0" eb="4">
      <t>ザクツケイサン</t>
    </rPh>
    <phoneticPr fontId="1"/>
  </si>
  <si>
    <t>【階の床面積に乗ずる数値】
（方法①）</t>
    <rPh sb="1" eb="2">
      <t>カイ</t>
    </rPh>
    <rPh sb="3" eb="6">
      <t>ユカメンセキ</t>
    </rPh>
    <rPh sb="7" eb="8">
      <t>ジョウ</t>
    </rPh>
    <rPh sb="10" eb="12">
      <t>スウチ</t>
    </rPh>
    <rPh sb="15" eb="17">
      <t>ホウホウ</t>
    </rPh>
    <phoneticPr fontId="1"/>
  </si>
  <si>
    <t>数値入力することによって任意の断面寸法を設定することができます。</t>
    <phoneticPr fontId="1"/>
  </si>
  <si>
    <t>（ここでは小屋裏面積は含めなくともよい。）</t>
    <rPh sb="5" eb="8">
      <t>コヤウラ</t>
    </rPh>
    <rPh sb="8" eb="10">
      <t>メンセキ</t>
    </rPh>
    <rPh sb="11" eb="12">
      <t>フク</t>
    </rPh>
    <phoneticPr fontId="1"/>
  </si>
  <si>
    <t>左記の値×2×2.8×22.5×(1-0.09)
/(6×16.5)</t>
    <phoneticPr fontId="1"/>
  </si>
  <si>
    <t>内容</t>
    <rPh sb="0" eb="2">
      <t>ナイヨウ</t>
    </rPh>
    <phoneticPr fontId="1"/>
  </si>
  <si>
    <t>JAS機械等級区分構造用製材</t>
    <phoneticPr fontId="1"/>
  </si>
  <si>
    <t>VLOOKUP引き当て用</t>
    <rPh sb="7" eb="8">
      <t>ヒ</t>
    </rPh>
    <rPh sb="9" eb="10">
      <t>ア</t>
    </rPh>
    <rPh sb="11" eb="12">
      <t>ヨウ</t>
    </rPh>
    <phoneticPr fontId="1"/>
  </si>
  <si>
    <r>
      <t>圧縮基準強度Fc（N/mm</t>
    </r>
    <r>
      <rPr>
        <vertAlign val="superscript"/>
        <sz val="11"/>
        <color theme="1"/>
        <rFont val="Yu Gothic"/>
        <family val="3"/>
        <charset val="128"/>
        <scheme val="minor"/>
      </rPr>
      <t>２</t>
    </r>
    <r>
      <rPr>
        <sz val="11"/>
        <color theme="1"/>
        <rFont val="Yu Gothic"/>
        <family val="2"/>
        <scheme val="minor"/>
      </rPr>
      <t>）</t>
    </r>
    <rPh sb="0" eb="6">
      <t>アッシュクキジュンキョウド</t>
    </rPh>
    <phoneticPr fontId="1"/>
  </si>
  <si>
    <t>*外周部の柱とは外壁面に存する柱を指す。内部柱とは外壁に面しない柱を指す。</t>
    <rPh sb="1" eb="4">
      <t>ガイシュウブ</t>
    </rPh>
    <rPh sb="5" eb="6">
      <t>ハシラ</t>
    </rPh>
    <rPh sb="8" eb="10">
      <t>ガイヘキ</t>
    </rPh>
    <rPh sb="10" eb="11">
      <t>メン</t>
    </rPh>
    <rPh sb="12" eb="13">
      <t>ゾン</t>
    </rPh>
    <rPh sb="15" eb="16">
      <t>ハシラ</t>
    </rPh>
    <rPh sb="17" eb="18">
      <t>サ</t>
    </rPh>
    <rPh sb="20" eb="22">
      <t>ナイブ</t>
    </rPh>
    <rPh sb="22" eb="23">
      <t>バシラ</t>
    </rPh>
    <rPh sb="25" eb="27">
      <t>ガイヘキ</t>
    </rPh>
    <rPh sb="28" eb="29">
      <t>メン</t>
    </rPh>
    <rPh sb="32" eb="33">
      <t>ハシラ</t>
    </rPh>
    <rPh sb="34" eb="35">
      <t>サ</t>
    </rPh>
    <phoneticPr fontId="1"/>
  </si>
  <si>
    <t>大臣認定</t>
    <rPh sb="0" eb="4">
      <t>ダイジンニンテイ</t>
    </rPh>
    <phoneticPr fontId="1"/>
  </si>
  <si>
    <t>2階柱材④</t>
    <rPh sb="1" eb="2">
      <t>カイ</t>
    </rPh>
    <rPh sb="2" eb="4">
      <t>ハシラザイ</t>
    </rPh>
    <phoneticPr fontId="1"/>
  </si>
  <si>
    <t>1階柱材④</t>
    <rPh sb="1" eb="2">
      <t>カイ</t>
    </rPh>
    <rPh sb="2" eb="4">
      <t>ハシラザイ</t>
    </rPh>
    <phoneticPr fontId="1"/>
  </si>
  <si>
    <t>修正時には参照先を確認→</t>
    <rPh sb="0" eb="3">
      <t>シュウセイジ</t>
    </rPh>
    <rPh sb="5" eb="7">
      <t>サンショウ</t>
    </rPh>
    <rPh sb="7" eb="8">
      <t>サキ</t>
    </rPh>
    <rPh sb="9" eb="11">
      <t>カクニン</t>
    </rPh>
    <phoneticPr fontId="1"/>
  </si>
  <si>
    <t>下見板張</t>
    <phoneticPr fontId="1"/>
  </si>
  <si>
    <t>下見板張り（100）※1 +軸組（150）※1 +せっこうボード（100）※2</t>
  </si>
  <si>
    <t>下見板張</t>
    <rPh sb="0" eb="2">
      <t>シタミ</t>
    </rPh>
    <rPh sb="2" eb="3">
      <t>イタ</t>
    </rPh>
    <rPh sb="3" eb="4">
      <t>ハ</t>
    </rPh>
    <phoneticPr fontId="1"/>
  </si>
  <si>
    <t>JAS目視等級区分構造用製材</t>
  </si>
  <si>
    <t>ー</t>
  </si>
  <si>
    <t>床面積当たりの荷重(階の床面積に乗ずる値用）</t>
    <rPh sb="0" eb="3">
      <t>ユカメンセキ</t>
    </rPh>
    <rPh sb="3" eb="4">
      <t>ア</t>
    </rPh>
    <rPh sb="7" eb="9">
      <t>カジュウ</t>
    </rPh>
    <rPh sb="10" eb="11">
      <t>カイ</t>
    </rPh>
    <rPh sb="12" eb="15">
      <t>ユカメンセキ</t>
    </rPh>
    <rPh sb="16" eb="17">
      <t>ジョウ</t>
    </rPh>
    <rPh sb="19" eb="20">
      <t>アタイ</t>
    </rPh>
    <rPh sb="20" eb="21">
      <t>ヨウ</t>
    </rPh>
    <phoneticPr fontId="1"/>
  </si>
  <si>
    <t>床面積当たりの荷重(柱の小径用）</t>
    <rPh sb="0" eb="3">
      <t>ユカメンセキ</t>
    </rPh>
    <rPh sb="3" eb="4">
      <t>ア</t>
    </rPh>
    <rPh sb="7" eb="9">
      <t>カジュウ</t>
    </rPh>
    <rPh sb="10" eb="11">
      <t>ハシラ</t>
    </rPh>
    <rPh sb="12" eb="14">
      <t>ショウケイ</t>
    </rPh>
    <rPh sb="14" eb="15">
      <t>ヨウ</t>
    </rPh>
    <phoneticPr fontId="1"/>
  </si>
  <si>
    <t>横架材間距離（㎜）</t>
    <rPh sb="0" eb="4">
      <t>オウカザイアイダ</t>
    </rPh>
    <rPh sb="4" eb="6">
      <t>キョリ</t>
    </rPh>
    <phoneticPr fontId="1"/>
  </si>
  <si>
    <t>平屋も階高ー１２０？</t>
    <rPh sb="0" eb="2">
      <t>ヒラヤ</t>
    </rPh>
    <rPh sb="3" eb="5">
      <t>カイダカ</t>
    </rPh>
    <phoneticPr fontId="1"/>
  </si>
  <si>
    <t>国土交通大臣が基準強度の数値を指定した木材</t>
    <rPh sb="0" eb="2">
      <t>コクド</t>
    </rPh>
    <rPh sb="2" eb="4">
      <t>コウツウ</t>
    </rPh>
    <rPh sb="4" eb="6">
      <t>ダイジン</t>
    </rPh>
    <rPh sb="7" eb="9">
      <t>キジュン</t>
    </rPh>
    <rPh sb="9" eb="11">
      <t>キョウド</t>
    </rPh>
    <rPh sb="12" eb="14">
      <t>スウチ</t>
    </rPh>
    <rPh sb="15" eb="17">
      <t>シテイ</t>
    </rPh>
    <rPh sb="19" eb="21">
      <t>モクザイ</t>
    </rPh>
    <phoneticPr fontId="1"/>
  </si>
  <si>
    <t>使用する場合は基準強度を記入</t>
    <rPh sb="0" eb="2">
      <t>シヨウ</t>
    </rPh>
    <rPh sb="4" eb="6">
      <t>バアイ</t>
    </rPh>
    <rPh sb="7" eb="9">
      <t>キジュン</t>
    </rPh>
    <rPh sb="9" eb="11">
      <t>キョウド</t>
    </rPh>
    <rPh sb="12" eb="14">
      <t>キニュウ</t>
    </rPh>
    <phoneticPr fontId="1"/>
  </si>
  <si>
    <t>使用する場合は基準強度を記入</t>
    <phoneticPr fontId="1"/>
  </si>
  <si>
    <t>設備等の質量（kg）</t>
    <rPh sb="0" eb="2">
      <t>セツビ</t>
    </rPh>
    <rPh sb="2" eb="3">
      <t>トウ</t>
    </rPh>
    <rPh sb="4" eb="6">
      <t>シツリョウ</t>
    </rPh>
    <phoneticPr fontId="1"/>
  </si>
  <si>
    <r>
      <t>太陽光発電設備等の質量を任意入力したい場合は「あり（任意入力）」をプルダウン選択し、右欄</t>
    </r>
    <r>
      <rPr>
        <b/>
        <sz val="9"/>
        <color theme="9" tint="-0.249977111117893"/>
        <rFont val="Yu Gothic"/>
        <family val="3"/>
        <charset val="128"/>
        <scheme val="minor"/>
      </rPr>
      <t>(緑)</t>
    </r>
    <r>
      <rPr>
        <sz val="9"/>
        <color theme="1"/>
        <rFont val="Yu Gothic"/>
        <family val="3"/>
        <charset val="128"/>
        <scheme val="minor"/>
      </rPr>
      <t>にその質量を入力する。</t>
    </r>
    <rPh sb="0" eb="3">
      <t>タイヨウコウ</t>
    </rPh>
    <rPh sb="3" eb="5">
      <t>ハツデン</t>
    </rPh>
    <rPh sb="5" eb="7">
      <t>セツビ</t>
    </rPh>
    <rPh sb="7" eb="8">
      <t>トウ</t>
    </rPh>
    <rPh sb="9" eb="11">
      <t>シツリョウ</t>
    </rPh>
    <rPh sb="12" eb="14">
      <t>ニンイ</t>
    </rPh>
    <rPh sb="14" eb="16">
      <t>ニュウリョク</t>
    </rPh>
    <rPh sb="19" eb="21">
      <t>バアイ</t>
    </rPh>
    <rPh sb="26" eb="28">
      <t>ニンイ</t>
    </rPh>
    <rPh sb="28" eb="30">
      <t>ニュウリョク</t>
    </rPh>
    <rPh sb="38" eb="40">
      <t>センタク</t>
    </rPh>
    <rPh sb="42" eb="44">
      <t>ミギラン</t>
    </rPh>
    <rPh sb="45" eb="46">
      <t>ミドリ</t>
    </rPh>
    <rPh sb="50" eb="52">
      <t>シツリョウ</t>
    </rPh>
    <rPh sb="53" eb="55">
      <t>ニュウリョク</t>
    </rPh>
    <phoneticPr fontId="1"/>
  </si>
  <si>
    <t>(地震力算定用）</t>
    <phoneticPr fontId="1"/>
  </si>
  <si>
    <t>(柱算定用）</t>
  </si>
  <si>
    <t>2－1　算定式と有効細長比より柱の小径を求める場合</t>
    <rPh sb="4" eb="6">
      <t>サンテイ</t>
    </rPh>
    <rPh sb="6" eb="7">
      <t>シキ</t>
    </rPh>
    <rPh sb="8" eb="10">
      <t>ユウコウ</t>
    </rPh>
    <rPh sb="10" eb="12">
      <t>ホソナガ</t>
    </rPh>
    <rPh sb="12" eb="13">
      <t>ヒ</t>
    </rPh>
    <rPh sb="15" eb="16">
      <t>ハシラ</t>
    </rPh>
    <rPh sb="17" eb="19">
      <t>ショウケイ</t>
    </rPh>
    <rPh sb="20" eb="21">
      <t>モト</t>
    </rPh>
    <rPh sb="23" eb="25">
      <t>バアイ</t>
    </rPh>
    <phoneticPr fontId="1"/>
  </si>
  <si>
    <t>（１）　柱の必要小径の算出方法</t>
    <rPh sb="4" eb="5">
      <t>ハシラ</t>
    </rPh>
    <rPh sb="6" eb="8">
      <t>ヒツヨウ</t>
    </rPh>
    <rPh sb="8" eb="10">
      <t>ショウケイ</t>
    </rPh>
    <phoneticPr fontId="1"/>
  </si>
  <si>
    <t>表2-1　変数の算定式、入力されている値</t>
    <rPh sb="0" eb="1">
      <t>ヒョウ</t>
    </rPh>
    <rPh sb="5" eb="7">
      <t>ヘンスウ</t>
    </rPh>
    <rPh sb="8" eb="11">
      <t>サンテイシキ</t>
    </rPh>
    <rPh sb="12" eb="14">
      <t>ニュウリョク</t>
    </rPh>
    <rPh sb="19" eb="20">
      <t>アタイ</t>
    </rPh>
    <phoneticPr fontId="1"/>
  </si>
  <si>
    <t>座屈の検討により算出した柱の必要小径（㎜）</t>
    <rPh sb="0" eb="2">
      <t>ザクツ</t>
    </rPh>
    <rPh sb="3" eb="5">
      <t>ケントウ</t>
    </rPh>
    <rPh sb="8" eb="10">
      <t>サンシュツ</t>
    </rPh>
    <rPh sb="12" eb="13">
      <t>ハシラ</t>
    </rPh>
    <rPh sb="14" eb="16">
      <t>ヒツヨウ</t>
    </rPh>
    <rPh sb="16" eb="18">
      <t>ショウケイ</t>
    </rPh>
    <phoneticPr fontId="1"/>
  </si>
  <si>
    <t>柱の有効細長比より算出した柱の必要小径（㎜）</t>
    <rPh sb="0" eb="1">
      <t>ハシラ</t>
    </rPh>
    <rPh sb="2" eb="4">
      <t>ユウコウ</t>
    </rPh>
    <rPh sb="4" eb="6">
      <t>ホソナガ</t>
    </rPh>
    <rPh sb="6" eb="7">
      <t>ヒ</t>
    </rPh>
    <rPh sb="9" eb="11">
      <t>サンシュツ</t>
    </rPh>
    <rPh sb="13" eb="14">
      <t>ハシラ</t>
    </rPh>
    <rPh sb="15" eb="17">
      <t>ヒツヨウ</t>
    </rPh>
    <rPh sb="17" eb="19">
      <t>ショウケイ</t>
    </rPh>
    <phoneticPr fontId="1"/>
  </si>
  <si>
    <t>表2-2　変数の算定式、入力されている値</t>
    <rPh sb="0" eb="1">
      <t>ヒョウ</t>
    </rPh>
    <rPh sb="5" eb="7">
      <t>ヘンスウ</t>
    </rPh>
    <rPh sb="8" eb="11">
      <t>サンテイシキ</t>
    </rPh>
    <rPh sb="12" eb="14">
      <t>ニュウリョク</t>
    </rPh>
    <rPh sb="19" eb="20">
      <t>アタイ</t>
    </rPh>
    <phoneticPr fontId="1"/>
  </si>
  <si>
    <t>表2-3　変数の算定式、入力されている値</t>
    <rPh sb="0" eb="1">
      <t>ヒョウ</t>
    </rPh>
    <rPh sb="5" eb="7">
      <t>ヘンスウ</t>
    </rPh>
    <rPh sb="8" eb="11">
      <t>サンテイシキ</t>
    </rPh>
    <rPh sb="12" eb="14">
      <t>ニュウリョク</t>
    </rPh>
    <rPh sb="19" eb="20">
      <t>アタイ</t>
    </rPh>
    <phoneticPr fontId="1"/>
  </si>
  <si>
    <t>2－2　樹種等を選択し、算定式と有効細長比より柱の小径を求める場合</t>
    <rPh sb="4" eb="6">
      <t>ジュシュ</t>
    </rPh>
    <rPh sb="6" eb="7">
      <t>トウ</t>
    </rPh>
    <rPh sb="8" eb="10">
      <t>センタク</t>
    </rPh>
    <rPh sb="12" eb="14">
      <t>サンテイ</t>
    </rPh>
    <rPh sb="14" eb="15">
      <t>シキ</t>
    </rPh>
    <rPh sb="16" eb="18">
      <t>ユウコウ</t>
    </rPh>
    <rPh sb="18" eb="20">
      <t>ホソナガ</t>
    </rPh>
    <rPh sb="20" eb="21">
      <t>ヒ</t>
    </rPh>
    <rPh sb="23" eb="24">
      <t>ハシラ</t>
    </rPh>
    <rPh sb="25" eb="27">
      <t>ショウケイ</t>
    </rPh>
    <rPh sb="28" eb="29">
      <t>モト</t>
    </rPh>
    <rPh sb="31" eb="33">
      <t>バアイ</t>
    </rPh>
    <phoneticPr fontId="1"/>
  </si>
  <si>
    <t>算定方法は2-1と同一である。</t>
    <rPh sb="0" eb="4">
      <t>サンテイホウホウ</t>
    </rPh>
    <rPh sb="9" eb="11">
      <t>ドウイツ</t>
    </rPh>
    <phoneticPr fontId="1"/>
  </si>
  <si>
    <t>2－3　柱の小径別に柱の負担可能面積を求める場合</t>
    <rPh sb="4" eb="5">
      <t>ハシラ</t>
    </rPh>
    <rPh sb="6" eb="8">
      <t>ショウケイ</t>
    </rPh>
    <rPh sb="8" eb="9">
      <t>ベツ</t>
    </rPh>
    <rPh sb="10" eb="11">
      <t>ハシラ</t>
    </rPh>
    <rPh sb="12" eb="14">
      <t>フタン</t>
    </rPh>
    <rPh sb="14" eb="16">
      <t>カノウ</t>
    </rPh>
    <rPh sb="16" eb="18">
      <t>メンセキ</t>
    </rPh>
    <rPh sb="19" eb="20">
      <t>モト</t>
    </rPh>
    <rPh sb="22" eb="24">
      <t>バアイ</t>
    </rPh>
    <phoneticPr fontId="1"/>
  </si>
  <si>
    <t>（２）　柱の有効細長比による柱の小径の検定方法</t>
    <rPh sb="4" eb="5">
      <t>ハシラ</t>
    </rPh>
    <rPh sb="6" eb="11">
      <t>ユウコウホソナガヒ</t>
    </rPh>
    <rPh sb="14" eb="15">
      <t>ハシラ</t>
    </rPh>
    <rPh sb="16" eb="18">
      <t>ショウケイ</t>
    </rPh>
    <rPh sb="19" eb="21">
      <t>ケンテイ</t>
    </rPh>
    <phoneticPr fontId="1"/>
  </si>
  <si>
    <t>柱の小径は、有効細長比が150以下になるようにしなければならない。</t>
    <rPh sb="0" eb="1">
      <t>ハシラ</t>
    </rPh>
    <rPh sb="2" eb="4">
      <t>ショウケイ</t>
    </rPh>
    <rPh sb="6" eb="11">
      <t>ユウコウホソナガヒ</t>
    </rPh>
    <rPh sb="15" eb="17">
      <t>イカ</t>
    </rPh>
    <phoneticPr fontId="1"/>
  </si>
  <si>
    <t>（３)　i階部分の外周柱の単位面積あたりの負担荷重の算出方法</t>
    <rPh sb="5" eb="6">
      <t>カイ</t>
    </rPh>
    <rPh sb="6" eb="8">
      <t>ブブン</t>
    </rPh>
    <rPh sb="9" eb="11">
      <t>ガイシュウ</t>
    </rPh>
    <rPh sb="11" eb="12">
      <t>バシラ</t>
    </rPh>
    <rPh sb="13" eb="15">
      <t>タンイ</t>
    </rPh>
    <rPh sb="15" eb="17">
      <t>メンセキ</t>
    </rPh>
    <rPh sb="21" eb="23">
      <t>フタン</t>
    </rPh>
    <rPh sb="23" eb="25">
      <t>カジュウ</t>
    </rPh>
    <phoneticPr fontId="1"/>
  </si>
  <si>
    <t>下屋部外周柱の床面積当たりの負担荷重</t>
    <rPh sb="0" eb="2">
      <t>ゲヤ</t>
    </rPh>
    <rPh sb="2" eb="3">
      <t>ブ</t>
    </rPh>
    <rPh sb="3" eb="5">
      <t>ガイシュウ</t>
    </rPh>
    <rPh sb="5" eb="6">
      <t>ハシラ</t>
    </rPh>
    <rPh sb="7" eb="10">
      <t>ユカメンセキ</t>
    </rPh>
    <rPh sb="10" eb="11">
      <t>ア</t>
    </rPh>
    <rPh sb="14" eb="18">
      <t>フタンカジュウ</t>
    </rPh>
    <phoneticPr fontId="1"/>
  </si>
  <si>
    <t>下屋部内部柱の床面積当たりの負担荷重</t>
    <rPh sb="0" eb="2">
      <t>ゲヤ</t>
    </rPh>
    <rPh sb="2" eb="3">
      <t>ブ</t>
    </rPh>
    <rPh sb="3" eb="5">
      <t>ナイブ</t>
    </rPh>
    <rPh sb="5" eb="6">
      <t>ハシラ</t>
    </rPh>
    <rPh sb="7" eb="10">
      <t>ユカメンセキ</t>
    </rPh>
    <rPh sb="10" eb="11">
      <t>ア</t>
    </rPh>
    <rPh sb="14" eb="18">
      <t>フタンカジュウ</t>
    </rPh>
    <phoneticPr fontId="1"/>
  </si>
  <si>
    <r>
      <t>基準強度
(N/㎜</t>
    </r>
    <r>
      <rPr>
        <b/>
        <vertAlign val="superscript"/>
        <sz val="10"/>
        <color theme="1"/>
        <rFont val="Yu Gothic"/>
        <family val="3"/>
        <charset val="128"/>
        <scheme val="minor"/>
      </rPr>
      <t>2</t>
    </r>
    <r>
      <rPr>
        <b/>
        <sz val="10"/>
        <color theme="1"/>
        <rFont val="Yu Gothic"/>
        <family val="3"/>
        <charset val="128"/>
        <scheme val="minor"/>
      </rPr>
      <t>)</t>
    </r>
    <rPh sb="0" eb="4">
      <t>キジュンキョウド</t>
    </rPh>
    <phoneticPr fontId="1"/>
  </si>
  <si>
    <r>
      <t>ｄ</t>
    </r>
    <r>
      <rPr>
        <i/>
        <vertAlign val="subscript"/>
        <sz val="11"/>
        <color theme="1"/>
        <rFont val="Yu Gothic"/>
        <family val="3"/>
        <charset val="128"/>
        <scheme val="minor"/>
      </rPr>
      <t>e</t>
    </r>
    <phoneticPr fontId="1"/>
  </si>
  <si>
    <r>
      <t>ｄ</t>
    </r>
    <r>
      <rPr>
        <i/>
        <vertAlign val="subscript"/>
        <sz val="11"/>
        <color theme="1"/>
        <rFont val="Yu Gothic"/>
        <family val="3"/>
        <charset val="128"/>
        <scheme val="minor"/>
      </rPr>
      <t>be</t>
    </r>
    <phoneticPr fontId="1"/>
  </si>
  <si>
    <r>
      <t>ｄ</t>
    </r>
    <r>
      <rPr>
        <i/>
        <vertAlign val="subscript"/>
        <sz val="11"/>
        <color theme="1"/>
        <rFont val="Yu Gothic"/>
        <family val="3"/>
        <charset val="128"/>
        <scheme val="minor"/>
      </rPr>
      <t>se</t>
    </r>
    <phoneticPr fontId="1"/>
  </si>
  <si>
    <t>2－１（4）に同じ。</t>
    <rPh sb="7" eb="8">
      <t>オナ</t>
    </rPh>
    <phoneticPr fontId="1"/>
  </si>
  <si>
    <t>２　柱の小径（令第43条第1項、第6項）</t>
    <rPh sb="2" eb="3">
      <t>ハシラ</t>
    </rPh>
    <rPh sb="4" eb="6">
      <t>ショウケイ</t>
    </rPh>
    <rPh sb="7" eb="8">
      <t>レイ</t>
    </rPh>
    <rPh sb="8" eb="9">
      <t>ダイ</t>
    </rPh>
    <rPh sb="11" eb="12">
      <t>ジョウ</t>
    </rPh>
    <rPh sb="12" eb="13">
      <t>ダイ</t>
    </rPh>
    <rPh sb="14" eb="15">
      <t>コウ</t>
    </rPh>
    <rPh sb="16" eb="17">
      <t>ダイ</t>
    </rPh>
    <rPh sb="18" eb="19">
      <t>コウ</t>
    </rPh>
    <phoneticPr fontId="1"/>
  </si>
  <si>
    <t>2-1 算定式と有効細長比より柱の小径を求める場合</t>
    <rPh sb="4" eb="7">
      <t>サンテイシキ</t>
    </rPh>
    <rPh sb="8" eb="13">
      <t>ユウコウホソナガヒ</t>
    </rPh>
    <rPh sb="15" eb="16">
      <t>ハシラ</t>
    </rPh>
    <rPh sb="17" eb="19">
      <t>ショウケイ</t>
    </rPh>
    <rPh sb="20" eb="21">
      <t>モト</t>
    </rPh>
    <rPh sb="23" eb="25">
      <t>バアイ</t>
    </rPh>
    <phoneticPr fontId="1"/>
  </si>
  <si>
    <t>2-2　樹種等を選択し、算定式と有効細長比より柱の小径を求める場合</t>
    <rPh sb="4" eb="7">
      <t>ジュシュトウ</t>
    </rPh>
    <rPh sb="8" eb="10">
      <t>センタク</t>
    </rPh>
    <rPh sb="12" eb="15">
      <t>サンテイシキ</t>
    </rPh>
    <rPh sb="16" eb="21">
      <t>ユウコウホソナガヒ</t>
    </rPh>
    <rPh sb="23" eb="24">
      <t>ハシラ</t>
    </rPh>
    <rPh sb="25" eb="27">
      <t>ショウケイ</t>
    </rPh>
    <rPh sb="28" eb="29">
      <t>モト</t>
    </rPh>
    <rPh sb="31" eb="33">
      <t>バアイ</t>
    </rPh>
    <phoneticPr fontId="1"/>
  </si>
  <si>
    <t>2-3　柱の小径別に柱の負担可能面積を求める場合</t>
    <rPh sb="4" eb="5">
      <t>ハシラ</t>
    </rPh>
    <rPh sb="6" eb="8">
      <t>ショウケイ</t>
    </rPh>
    <rPh sb="8" eb="9">
      <t>ベツ</t>
    </rPh>
    <rPh sb="10" eb="11">
      <t>ハシラ</t>
    </rPh>
    <rPh sb="12" eb="16">
      <t>フタンカノウ</t>
    </rPh>
    <rPh sb="16" eb="18">
      <t>メンセキ</t>
    </rPh>
    <rPh sb="19" eb="20">
      <t>モト</t>
    </rPh>
    <rPh sb="22" eb="24">
      <t>バアイ</t>
    </rPh>
    <phoneticPr fontId="1"/>
  </si>
  <si>
    <t>1－3　当該表計算ツールにおける荷重の想定</t>
    <rPh sb="4" eb="6">
      <t>トウガイ</t>
    </rPh>
    <rPh sb="16" eb="18">
      <t>カジュウ</t>
    </rPh>
    <rPh sb="19" eb="21">
      <t>ソウテイ</t>
    </rPh>
    <phoneticPr fontId="1"/>
  </si>
  <si>
    <t>区分</t>
  </si>
  <si>
    <t>基　　　　　準</t>
  </si>
  <si>
    <t>節</t>
  </si>
  <si>
    <t>入り皮又はやにつぼ</t>
  </si>
  <si>
    <t>軽微であること。</t>
  </si>
  <si>
    <t>丸　　身</t>
  </si>
  <si>
    <t>曲り</t>
  </si>
  <si>
    <t>ねじれ</t>
  </si>
  <si>
    <t>木口割れ又は目まわり</t>
  </si>
  <si>
    <r>
      <t>繊維走向の傾斜（幅が</t>
    </r>
    <r>
      <rPr>
        <sz val="10"/>
        <color theme="1"/>
        <rFont val="Times New Roman"/>
        <family val="1"/>
      </rPr>
      <t>90mm</t>
    </r>
    <r>
      <rPr>
        <sz val="10"/>
        <color theme="1"/>
        <rFont val="ＭＳ 明朝"/>
        <family val="1"/>
        <charset val="128"/>
      </rPr>
      <t>未満を除く。）</t>
    </r>
  </si>
  <si>
    <t>平均年輪幅</t>
  </si>
  <si>
    <t>あて</t>
  </si>
  <si>
    <t>腐れ又は虫あな</t>
  </si>
  <si>
    <t>端落ち</t>
  </si>
  <si>
    <t>その他の欠点</t>
  </si>
  <si>
    <t>インサイジング</t>
  </si>
  <si>
    <r>
      <t>インサイジングは欠点とみなさない。ただし、その仕様は製材の曲げ強さ及び曲げヤング係数の低下がおおむね</t>
    </r>
    <r>
      <rPr>
        <sz val="10"/>
        <color theme="1"/>
        <rFont val="Times New Roman"/>
        <family val="1"/>
      </rPr>
      <t>1</t>
    </r>
    <r>
      <rPr>
        <sz val="10"/>
        <color theme="1"/>
        <rFont val="ＭＳ 明朝"/>
        <family val="1"/>
        <charset val="128"/>
      </rPr>
      <t>割を超えない範囲内とする。</t>
    </r>
  </si>
  <si>
    <t>無節、上小節又は小節</t>
  </si>
  <si>
    <r>
      <t>「四方無節」、「三方無節」、「二方無節」、若しくは「一方無節」、「四方上小節」、「三方上小節」、「二方上小節」若しくは「一方上小節」又は「小節」と表示してあるものにあっては、別記</t>
    </r>
    <r>
      <rPr>
        <sz val="10"/>
        <color theme="1"/>
        <rFont val="Times New Roman"/>
        <family val="1"/>
      </rPr>
      <t>1</t>
    </r>
    <r>
      <rPr>
        <sz val="10"/>
        <color theme="1"/>
        <rFont val="ＭＳ 明朝"/>
        <family val="1"/>
        <charset val="128"/>
      </rPr>
      <t>（告示参照）の</t>
    </r>
    <r>
      <rPr>
        <sz val="10"/>
        <color theme="1"/>
        <rFont val="Times New Roman"/>
        <family val="1"/>
      </rPr>
      <t>(3)</t>
    </r>
    <r>
      <rPr>
        <sz val="10"/>
        <color theme="1"/>
        <rFont val="ＭＳ 明朝"/>
        <family val="1"/>
        <charset val="128"/>
      </rPr>
      <t>の基準に適合していること。</t>
    </r>
  </si>
  <si>
    <t>防腐・防ぎ処理又は防腐処理</t>
  </si>
  <si>
    <r>
      <t>防腐・防ぎ処理または防腐処理を施した旨の表示がしてあるものにあっては、日本工業規格（以下「</t>
    </r>
    <r>
      <rPr>
        <sz val="10"/>
        <color theme="1"/>
        <rFont val="Times New Roman"/>
        <family val="1"/>
      </rPr>
      <t>JIS</t>
    </r>
    <r>
      <rPr>
        <sz val="10"/>
        <color theme="1"/>
        <rFont val="ＭＳ 明朝"/>
        <family val="1"/>
        <charset val="128"/>
      </rPr>
      <t>」という。）</t>
    </r>
    <r>
      <rPr>
        <sz val="10"/>
        <color theme="1"/>
        <rFont val="Times New Roman"/>
        <family val="1"/>
      </rPr>
      <t>K1554 1</t>
    </r>
    <r>
      <rPr>
        <sz val="10"/>
        <color theme="1"/>
        <rFont val="ＭＳ 明朝"/>
        <family val="1"/>
        <charset val="128"/>
      </rPr>
      <t>号として定められている有効成分の配合比を満たす薬剤（以下「</t>
    </r>
    <r>
      <rPr>
        <sz val="10"/>
        <color theme="1"/>
        <rFont val="Times New Roman"/>
        <family val="1"/>
      </rPr>
      <t>JIS K1554 1</t>
    </r>
    <r>
      <rPr>
        <sz val="10"/>
        <color theme="1"/>
        <rFont val="ＭＳ 明朝"/>
        <family val="1"/>
        <charset val="128"/>
      </rPr>
      <t>号」という。）又は</t>
    </r>
    <r>
      <rPr>
        <sz val="10"/>
        <color theme="1"/>
        <rFont val="Times New Roman"/>
        <family val="1"/>
      </rPr>
      <t>JIS K1554 2</t>
    </r>
    <r>
      <rPr>
        <sz val="10"/>
        <color theme="1"/>
        <rFont val="ＭＳ 明朝"/>
        <family val="1"/>
        <charset val="128"/>
      </rPr>
      <t>号として定められている有効成分の配合比を満たす薬剤（以下「</t>
    </r>
    <r>
      <rPr>
        <sz val="10"/>
        <color theme="1"/>
        <rFont val="Times New Roman"/>
        <family val="1"/>
      </rPr>
      <t>JIS K1554 2</t>
    </r>
    <r>
      <rPr>
        <sz val="10"/>
        <color theme="1"/>
        <rFont val="ＭＳ 明朝"/>
        <family val="1"/>
        <charset val="128"/>
      </rPr>
      <t>号」という。）又は</t>
    </r>
    <r>
      <rPr>
        <sz val="10"/>
        <color theme="1"/>
        <rFont val="Times New Roman"/>
        <family val="1"/>
      </rPr>
      <t>JIS K1554 3</t>
    </r>
    <r>
      <rPr>
        <sz val="10"/>
        <color theme="1"/>
        <rFont val="ＭＳ 明朝"/>
        <family val="1"/>
        <charset val="128"/>
      </rPr>
      <t>号として定められている有効成分の配合比を満たす薬剤（以下「</t>
    </r>
    <r>
      <rPr>
        <sz val="10"/>
        <color theme="1"/>
        <rFont val="Times New Roman"/>
        <family val="1"/>
      </rPr>
      <t>JIA K1544 3</t>
    </r>
    <r>
      <rPr>
        <sz val="10"/>
        <color theme="1"/>
        <rFont val="ＭＳ 明朝"/>
        <family val="1"/>
        <charset val="128"/>
      </rPr>
      <t>号」という。）防腐・防ぎ処理または防腐処理が行われており、かつ、防腐・防ぎ処理にあっては別記</t>
    </r>
    <r>
      <rPr>
        <sz val="10"/>
        <color theme="1"/>
        <rFont val="Times New Roman"/>
        <family val="1"/>
      </rPr>
      <t>2</t>
    </r>
    <r>
      <rPr>
        <sz val="10"/>
        <color theme="1"/>
        <rFont val="ＭＳ 明朝"/>
        <family val="1"/>
        <charset val="128"/>
      </rPr>
      <t>の</t>
    </r>
    <r>
      <rPr>
        <sz val="10"/>
        <color theme="1"/>
        <rFont val="Times New Roman"/>
        <family val="1"/>
      </rPr>
      <t>(1)</t>
    </r>
    <r>
      <rPr>
        <sz val="10"/>
        <color theme="1"/>
        <rFont val="ＭＳ 明朝"/>
        <family val="1"/>
        <charset val="128"/>
      </rPr>
      <t>の防腐・防ぎ処理試験又は防腐処理試験のうち防腐・防ぎ</t>
    </r>
    <r>
      <rPr>
        <sz val="10"/>
        <color theme="1"/>
        <rFont val="Times New Roman"/>
        <family val="1"/>
      </rPr>
      <t>1</t>
    </r>
    <r>
      <rPr>
        <sz val="10"/>
        <color theme="1"/>
        <rFont val="ＭＳ 明朝"/>
        <family val="1"/>
        <charset val="128"/>
      </rPr>
      <t>種処理又は防腐・防ぎ</t>
    </r>
    <r>
      <rPr>
        <sz val="10"/>
        <color theme="1"/>
        <rFont val="Times New Roman"/>
        <family val="1"/>
      </rPr>
      <t>2</t>
    </r>
    <r>
      <rPr>
        <sz val="10"/>
        <color theme="1"/>
        <rFont val="ＭＳ 明朝"/>
        <family val="1"/>
        <charset val="128"/>
      </rPr>
      <t>種処理のいずれかに係る試験に合格し、防腐処理にあっては別記</t>
    </r>
    <r>
      <rPr>
        <sz val="10"/>
        <color theme="1"/>
        <rFont val="Times New Roman"/>
        <family val="1"/>
      </rPr>
      <t>2</t>
    </r>
    <r>
      <rPr>
        <sz val="10"/>
        <color theme="1"/>
        <rFont val="ＭＳ 明朝"/>
        <family val="1"/>
        <charset val="128"/>
      </rPr>
      <t>の</t>
    </r>
    <r>
      <rPr>
        <sz val="10"/>
        <color theme="1"/>
        <rFont val="Times New Roman"/>
        <family val="1"/>
      </rPr>
      <t>(1)</t>
    </r>
    <r>
      <rPr>
        <sz val="10"/>
        <color theme="1"/>
        <rFont val="ＭＳ 明朝"/>
        <family val="1"/>
        <charset val="128"/>
      </rPr>
      <t>の防腐・防ぎ処理試験又は防腐処理試験のうち防腐</t>
    </r>
    <r>
      <rPr>
        <sz val="10"/>
        <color theme="1"/>
        <rFont val="Times New Roman"/>
        <family val="1"/>
      </rPr>
      <t>3</t>
    </r>
    <r>
      <rPr>
        <sz val="10"/>
        <color theme="1"/>
        <rFont val="ＭＳ 明朝"/>
        <family val="1"/>
        <charset val="128"/>
      </rPr>
      <t>種処理に係る試験に合格すること。</t>
    </r>
  </si>
  <si>
    <t>防虫処理</t>
  </si>
  <si>
    <r>
      <t>防虫処理を施した旨の表示がしてあるものにあっては、別記</t>
    </r>
    <r>
      <rPr>
        <sz val="10"/>
        <color theme="1"/>
        <rFont val="Times New Roman"/>
        <family val="1"/>
      </rPr>
      <t>2</t>
    </r>
    <r>
      <rPr>
        <sz val="10"/>
        <color theme="1"/>
        <rFont val="ＭＳ 明朝"/>
        <family val="1"/>
        <charset val="128"/>
      </rPr>
      <t>の</t>
    </r>
    <r>
      <rPr>
        <sz val="10"/>
        <color theme="1"/>
        <rFont val="Times New Roman"/>
        <family val="1"/>
      </rPr>
      <t>(2)</t>
    </r>
    <r>
      <rPr>
        <sz val="10"/>
        <color theme="1"/>
        <rFont val="ＭＳ 明朝"/>
        <family val="1"/>
        <charset val="128"/>
      </rPr>
      <t>の防虫処理試験に合格すること。</t>
    </r>
  </si>
  <si>
    <t>人工乾燥</t>
  </si>
  <si>
    <t>寸　　法</t>
  </si>
  <si>
    <t>表示された寸法と測定した寸法との差がそれぞれに次に掲げる数値に適合していること。</t>
  </si>
  <si>
    <r>
      <t>1</t>
    </r>
    <r>
      <rPr>
        <sz val="10"/>
        <color theme="1"/>
        <rFont val="ＭＳ 明朝"/>
        <family val="1"/>
        <charset val="128"/>
      </rPr>
      <t>　厚さ及び幅　－</t>
    </r>
    <r>
      <rPr>
        <sz val="10"/>
        <color theme="1"/>
        <rFont val="Times New Roman"/>
        <family val="1"/>
      </rPr>
      <t>1.0mm</t>
    </r>
    <r>
      <rPr>
        <sz val="10"/>
        <color theme="1"/>
        <rFont val="ＭＳ 明朝"/>
        <family val="1"/>
        <charset val="128"/>
      </rPr>
      <t>以下</t>
    </r>
  </si>
  <si>
    <r>
      <t>2</t>
    </r>
    <r>
      <rPr>
        <sz val="10"/>
        <color theme="1"/>
        <rFont val="ＭＳ 明朝"/>
        <family val="1"/>
        <charset val="128"/>
      </rPr>
      <t>　長さ　　　　－</t>
    </r>
    <r>
      <rPr>
        <sz val="10"/>
        <color theme="1"/>
        <rFont val="Times New Roman"/>
        <family val="1"/>
      </rPr>
      <t>0</t>
    </r>
  </si>
  <si>
    <t>0.2%以下であること。ただし、「土台用」と表示してあるものにあっては、0.5%以下である。</t>
    <phoneticPr fontId="1"/>
  </si>
  <si>
    <t>きわめて軽微であること。ただし、「土台用」と表示してあるものにあっては、顕著でないこと。</t>
    <phoneticPr fontId="1"/>
  </si>
  <si>
    <t>6mm以下であること。</t>
    <phoneticPr fontId="1"/>
  </si>
  <si>
    <t>端落ち（材の1端の欠除した部分）の厚さ方向の長さの最大値と最小値の和の½の材の1辺長さに対する割合が10%以下であり、かつ、材の長さ方向の長さが0.2m以下であること。</t>
    <phoneticPr fontId="1"/>
  </si>
  <si>
    <r>
      <t>出力結果：柱の負担可能面積（m</t>
    </r>
    <r>
      <rPr>
        <vertAlign val="superscript"/>
        <sz val="11"/>
        <color theme="1"/>
        <rFont val="Yu Gothic"/>
        <family val="3"/>
        <charset val="128"/>
        <scheme val="minor"/>
      </rPr>
      <t>2</t>
    </r>
    <r>
      <rPr>
        <sz val="11"/>
        <color theme="1"/>
        <rFont val="Yu Gothic"/>
        <family val="2"/>
        <scheme val="minor"/>
      </rPr>
      <t>）</t>
    </r>
    <rPh sb="0" eb="4">
      <t>シュツリョクケッカ</t>
    </rPh>
    <rPh sb="5" eb="6">
      <t>ハシラ</t>
    </rPh>
    <rPh sb="7" eb="11">
      <t>フタンカノウ</t>
    </rPh>
    <rPh sb="11" eb="13">
      <t>メンセキ</t>
    </rPh>
    <phoneticPr fontId="1"/>
  </si>
  <si>
    <t>０．はじめに</t>
    <phoneticPr fontId="1"/>
  </si>
  <si>
    <r>
      <t>入
力
値
*</t>
    </r>
    <r>
      <rPr>
        <vertAlign val="superscript"/>
        <sz val="11"/>
        <color theme="1"/>
        <rFont val="Yu Gothic"/>
        <family val="3"/>
        <charset val="128"/>
        <scheme val="minor"/>
      </rPr>
      <t>1</t>
    </r>
    <rPh sb="0" eb="1">
      <t>ハイ</t>
    </rPh>
    <rPh sb="2" eb="3">
      <t>チカラ</t>
    </rPh>
    <rPh sb="4" eb="5">
      <t>アタイ</t>
    </rPh>
    <phoneticPr fontId="1"/>
  </si>
  <si>
    <r>
      <t>*</t>
    </r>
    <r>
      <rPr>
        <vertAlign val="superscript"/>
        <sz val="11"/>
        <color theme="1"/>
        <rFont val="Yu Gothic"/>
        <family val="3"/>
        <charset val="128"/>
        <scheme val="minor"/>
      </rPr>
      <t>1</t>
    </r>
    <r>
      <rPr>
        <sz val="11"/>
        <color theme="1"/>
        <rFont val="Yu Gothic"/>
        <family val="3"/>
        <charset val="128"/>
        <scheme val="minor"/>
      </rPr>
      <t>：固定荷重・積載荷重の根拠は</t>
    </r>
    <rPh sb="3" eb="7">
      <t>コテイカジュウ</t>
    </rPh>
    <rPh sb="8" eb="12">
      <t>セキサイカジュウ</t>
    </rPh>
    <rPh sb="13" eb="15">
      <t>コンキョ</t>
    </rPh>
    <phoneticPr fontId="1"/>
  </si>
  <si>
    <t>こちら。</t>
    <phoneticPr fontId="1"/>
  </si>
  <si>
    <r>
      <t>太陽光発電設備等の質量を任意入力したい場合は「あり(任意入力)」*</t>
    </r>
    <r>
      <rPr>
        <vertAlign val="superscript"/>
        <sz val="9"/>
        <color theme="1"/>
        <rFont val="Yu Gothic"/>
        <family val="3"/>
        <charset val="128"/>
        <scheme val="minor"/>
      </rPr>
      <t>2</t>
    </r>
    <r>
      <rPr>
        <sz val="9"/>
        <color theme="1"/>
        <rFont val="Yu Gothic"/>
        <family val="3"/>
        <charset val="128"/>
        <scheme val="minor"/>
      </rPr>
      <t>をプルダウン選択し、右欄</t>
    </r>
    <r>
      <rPr>
        <b/>
        <sz val="9"/>
        <color theme="9" tint="-0.249977111117893"/>
        <rFont val="Yu Gothic"/>
        <family val="3"/>
        <charset val="128"/>
        <scheme val="minor"/>
      </rPr>
      <t>(緑)</t>
    </r>
    <r>
      <rPr>
        <sz val="9"/>
        <color theme="1"/>
        <rFont val="Yu Gothic"/>
        <family val="3"/>
        <charset val="128"/>
        <scheme val="minor"/>
      </rPr>
      <t>にその質量を入力する。</t>
    </r>
    <rPh sb="0" eb="3">
      <t>タイヨウコウ</t>
    </rPh>
    <rPh sb="3" eb="5">
      <t>ハツデン</t>
    </rPh>
    <rPh sb="5" eb="7">
      <t>セツビ</t>
    </rPh>
    <rPh sb="7" eb="8">
      <t>トウ</t>
    </rPh>
    <rPh sb="9" eb="11">
      <t>シツリョウ</t>
    </rPh>
    <rPh sb="12" eb="14">
      <t>ニンイ</t>
    </rPh>
    <rPh sb="14" eb="16">
      <t>ニュウリョク</t>
    </rPh>
    <rPh sb="19" eb="21">
      <t>バアイ</t>
    </rPh>
    <rPh sb="26" eb="28">
      <t>ニンイ</t>
    </rPh>
    <rPh sb="28" eb="30">
      <t>ニュウリョク</t>
    </rPh>
    <rPh sb="40" eb="42">
      <t>センタク</t>
    </rPh>
    <rPh sb="44" eb="46">
      <t>ミギラン</t>
    </rPh>
    <rPh sb="47" eb="48">
      <t>ミドリ</t>
    </rPh>
    <rPh sb="52" eb="54">
      <t>シツリョウ</t>
    </rPh>
    <rPh sb="55" eb="57">
      <t>ニュウリョク</t>
    </rPh>
    <phoneticPr fontId="1"/>
  </si>
  <si>
    <r>
      <t>*</t>
    </r>
    <r>
      <rPr>
        <vertAlign val="superscript"/>
        <sz val="11"/>
        <color theme="1"/>
        <rFont val="Yu Gothic"/>
        <family val="3"/>
        <charset val="128"/>
        <scheme val="minor"/>
      </rPr>
      <t>2</t>
    </r>
    <r>
      <rPr>
        <sz val="11"/>
        <color theme="1"/>
        <rFont val="Yu Gothic"/>
        <family val="3"/>
        <charset val="128"/>
        <scheme val="minor"/>
      </rPr>
      <t>：屋根面積に対しての均し荷重として算定される。</t>
    </r>
    <rPh sb="3" eb="5">
      <t>ヤネ</t>
    </rPh>
    <rPh sb="5" eb="7">
      <t>メンセキ</t>
    </rPh>
    <rPh sb="8" eb="9">
      <t>タイ</t>
    </rPh>
    <rPh sb="12" eb="13">
      <t>ナラ</t>
    </rPh>
    <rPh sb="14" eb="16">
      <t>カジュウ</t>
    </rPh>
    <rPh sb="19" eb="21">
      <t>サンテイ</t>
    </rPh>
    <phoneticPr fontId="1"/>
  </si>
  <si>
    <t>・すぎ、無等級材を前提とした計算式である。無等級材の要求性能は、本シート末尾の別表に掲載している。</t>
    <rPh sb="4" eb="8">
      <t>ムトウキュウザイ</t>
    </rPh>
    <rPh sb="9" eb="11">
      <t>ゼンテイ</t>
    </rPh>
    <rPh sb="14" eb="17">
      <t>ケイサンシキ</t>
    </rPh>
    <rPh sb="21" eb="25">
      <t>ムトウキュウザイ</t>
    </rPh>
    <rPh sb="26" eb="28">
      <t>ヨウキュウ</t>
    </rPh>
    <rPh sb="28" eb="30">
      <t>セイノウ</t>
    </rPh>
    <rPh sb="32" eb="33">
      <t>ホン</t>
    </rPh>
    <rPh sb="36" eb="38">
      <t>マツビ</t>
    </rPh>
    <rPh sb="39" eb="41">
      <t>ベッピョウ</t>
    </rPh>
    <rPh sb="42" eb="44">
      <t>ケイサイ</t>
    </rPh>
    <phoneticPr fontId="1"/>
  </si>
  <si>
    <t>・正角柱を前提とした算定方法である。</t>
    <rPh sb="1" eb="3">
      <t>ショウカク</t>
    </rPh>
    <rPh sb="3" eb="4">
      <t>ハシラ</t>
    </rPh>
    <rPh sb="5" eb="7">
      <t>ゼンテイ</t>
    </rPh>
    <rPh sb="10" eb="14">
      <t>サンテイホウホウ</t>
    </rPh>
    <phoneticPr fontId="1"/>
  </si>
  <si>
    <t>・2階建ての下屋部分の柱の負担可能面積の算定は、平屋の表計算ツールを用いてもよい。</t>
    <phoneticPr fontId="1"/>
  </si>
  <si>
    <t>・2階建ての下屋部分の柱の小径の算定は、平屋の表計算ツールを用いてもよい。</t>
    <rPh sb="13" eb="15">
      <t>ショウケイ</t>
    </rPh>
    <phoneticPr fontId="1"/>
  </si>
  <si>
    <t>（０）2-2の算定方法における前提条件と注意事項</t>
    <rPh sb="7" eb="11">
      <t>サンテイホウホウ</t>
    </rPh>
    <rPh sb="15" eb="19">
      <t>ゼンテイジョウケン</t>
    </rPh>
    <rPh sb="20" eb="24">
      <t>チュウイジコウ</t>
    </rPh>
    <phoneticPr fontId="1"/>
  </si>
  <si>
    <t>・2-1、2-2と異なり、長方形断面の柱も設定できる。短辺方向を座屈方向として算定される。</t>
    <rPh sb="9" eb="10">
      <t>コト</t>
    </rPh>
    <rPh sb="13" eb="16">
      <t>チョウホウケイ</t>
    </rPh>
    <rPh sb="16" eb="18">
      <t>ダンメン</t>
    </rPh>
    <rPh sb="19" eb="20">
      <t>ハシラ</t>
    </rPh>
    <rPh sb="21" eb="23">
      <t>セッテイ</t>
    </rPh>
    <rPh sb="27" eb="29">
      <t>タンペン</t>
    </rPh>
    <rPh sb="29" eb="31">
      <t>ホウコウ</t>
    </rPh>
    <rPh sb="32" eb="34">
      <t>ザクツ</t>
    </rPh>
    <rPh sb="34" eb="36">
      <t>ホウコウ</t>
    </rPh>
    <rPh sb="39" eb="41">
      <t>サンテイ</t>
    </rPh>
    <phoneticPr fontId="1"/>
  </si>
  <si>
    <t>算定方法における前提条件と注意事項は</t>
    <phoneticPr fontId="1"/>
  </si>
  <si>
    <t>（０）2-3の算定方法における前提条件と注意事項</t>
    <rPh sb="7" eb="11">
      <t>サンテイホウホウ</t>
    </rPh>
    <rPh sb="15" eb="19">
      <t>ゼンテイジョウケン</t>
    </rPh>
    <rPh sb="20" eb="24">
      <t>チュウイジコウ</t>
    </rPh>
    <phoneticPr fontId="1"/>
  </si>
  <si>
    <t>（０） 2-1の算定方法における前提条件と注意事項</t>
    <rPh sb="8" eb="12">
      <t>サンテイホウホウ</t>
    </rPh>
    <rPh sb="16" eb="20">
      <t>ゼンテイジョウケン</t>
    </rPh>
    <rPh sb="21" eb="25">
      <t>チュウイジコウ</t>
    </rPh>
    <phoneticPr fontId="1"/>
  </si>
  <si>
    <t>サイディング</t>
  </si>
  <si>
    <t xml:space="preserve">標準せん断力係数は、0.2以上。ただし、地盤が著しく軟弱な区域として特定行政庁が国土交通大臣の定める基準に基づいて規則で指定する区域内における木造の建築物にあっては、0.3以上としなければならない。 </t>
    <phoneticPr fontId="1"/>
  </si>
  <si>
    <t>階の床面積に乗ずる数値は下式のとおり算出している。</t>
    <rPh sb="0" eb="1">
      <t>カイ</t>
    </rPh>
    <rPh sb="2" eb="5">
      <t>ユカメンセキ</t>
    </rPh>
    <rPh sb="6" eb="7">
      <t>ジョウ</t>
    </rPh>
    <rPh sb="9" eb="11">
      <t>スウチ</t>
    </rPh>
    <rPh sb="12" eb="13">
      <t>シタ</t>
    </rPh>
    <rPh sb="13" eb="14">
      <t>シキ</t>
    </rPh>
    <rPh sb="18" eb="20">
      <t>サンシュツ</t>
    </rPh>
    <phoneticPr fontId="1"/>
  </si>
  <si>
    <t>小屋梁・桁上端～２階床梁上端までの距離</t>
    <rPh sb="0" eb="2">
      <t>コヤ</t>
    </rPh>
    <rPh sb="2" eb="3">
      <t>ハリ</t>
    </rPh>
    <rPh sb="4" eb="5">
      <t>ケタ</t>
    </rPh>
    <rPh sb="5" eb="7">
      <t>ジョウタン</t>
    </rPh>
    <rPh sb="9" eb="10">
      <t>カイ</t>
    </rPh>
    <rPh sb="10" eb="11">
      <t>ユカ</t>
    </rPh>
    <rPh sb="11" eb="12">
      <t>ハリ</t>
    </rPh>
    <rPh sb="12" eb="14">
      <t>ジョウタン</t>
    </rPh>
    <rPh sb="17" eb="19">
      <t>キョリ</t>
    </rPh>
    <phoneticPr fontId="1"/>
  </si>
  <si>
    <t>２階床梁上端～１階土台上端までの距離</t>
    <rPh sb="8" eb="9">
      <t>カイ</t>
    </rPh>
    <rPh sb="9" eb="11">
      <t>ドダイ</t>
    </rPh>
    <rPh sb="11" eb="13">
      <t>ジョウタン</t>
    </rPh>
    <rPh sb="16" eb="18">
      <t>キョリ</t>
    </rPh>
    <phoneticPr fontId="1"/>
  </si>
  <si>
    <t>■　無等級材の要求性能について</t>
    <rPh sb="2" eb="6">
      <t>ムトウキュウザイ</t>
    </rPh>
    <rPh sb="7" eb="11">
      <t>ヨウキュウセイノウ</t>
    </rPh>
    <phoneticPr fontId="1"/>
  </si>
  <si>
    <t>表２－4　変数の算定式、入力されている値</t>
    <rPh sb="0" eb="1">
      <t>ヒョウ</t>
    </rPh>
    <rPh sb="5" eb="7">
      <t>ヘンスウ</t>
    </rPh>
    <rPh sb="8" eb="11">
      <t>サンテイシキ</t>
    </rPh>
    <rPh sb="12" eb="14">
      <t>ニュウリョク</t>
    </rPh>
    <rPh sb="19" eb="20">
      <t>アタイ</t>
    </rPh>
    <phoneticPr fontId="1"/>
  </si>
  <si>
    <t>表2－5　無等級材の要求性能</t>
    <rPh sb="0" eb="1">
      <t>ヒョウ</t>
    </rPh>
    <rPh sb="5" eb="9">
      <t>ムトウキュウザイ</t>
    </rPh>
    <rPh sb="10" eb="14">
      <t>ヨウキュウセイノウ</t>
    </rPh>
    <phoneticPr fontId="1"/>
  </si>
  <si>
    <t>階の床面積に乗ずる数値</t>
    <rPh sb="0" eb="1">
      <t>カイ</t>
    </rPh>
    <rPh sb="2" eb="5">
      <t>ユカメンセキ</t>
    </rPh>
    <rPh sb="6" eb="7">
      <t>ジョウ</t>
    </rPh>
    <rPh sb="9" eb="11">
      <t>スウチ</t>
    </rPh>
    <phoneticPr fontId="1"/>
  </si>
  <si>
    <t>１階</t>
    <rPh sb="1" eb="2">
      <t>カイ</t>
    </rPh>
    <phoneticPr fontId="1"/>
  </si>
  <si>
    <t>２階</t>
    <rPh sb="1" eb="2">
      <t>カイ</t>
    </rPh>
    <phoneticPr fontId="1"/>
  </si>
  <si>
    <t>なし(0)</t>
  </si>
  <si>
    <t>数値入力する場合には、太陽光発電設備等の全重量を入力する。結果は、全重量を1階2階床面積の大きい方で除した値で計算される。</t>
    <rPh sb="0" eb="2">
      <t>スウチ</t>
    </rPh>
    <rPh sb="2" eb="4">
      <t>ニュウリョク</t>
    </rPh>
    <rPh sb="6" eb="8">
      <t>バアイ</t>
    </rPh>
    <rPh sb="11" eb="14">
      <t>タイヨウコウ</t>
    </rPh>
    <rPh sb="14" eb="16">
      <t>ハツデン</t>
    </rPh>
    <rPh sb="16" eb="18">
      <t>セツビ</t>
    </rPh>
    <rPh sb="18" eb="19">
      <t>トウ</t>
    </rPh>
    <rPh sb="20" eb="23">
      <t>ゼンジュウリョウ</t>
    </rPh>
    <rPh sb="24" eb="26">
      <t>ニュウリョク</t>
    </rPh>
    <rPh sb="29" eb="31">
      <t>ケッカ</t>
    </rPh>
    <rPh sb="33" eb="36">
      <t>ゼンジュウリョウ</t>
    </rPh>
    <rPh sb="38" eb="39">
      <t>カイ</t>
    </rPh>
    <rPh sb="40" eb="41">
      <t>カイ</t>
    </rPh>
    <rPh sb="41" eb="44">
      <t>ユカメンセキ</t>
    </rPh>
    <rPh sb="45" eb="46">
      <t>オオ</t>
    </rPh>
    <rPh sb="48" eb="49">
      <t>ホウ</t>
    </rPh>
    <rPh sb="50" eb="51">
      <t>ジョ</t>
    </rPh>
    <rPh sb="53" eb="54">
      <t>アタイ</t>
    </rPh>
    <rPh sb="55" eb="57">
      <t>ケイサン</t>
    </rPh>
    <phoneticPr fontId="1"/>
  </si>
  <si>
    <t>（４)　i階部分の柱の単位面積あたりの負担荷重の算出方法</t>
    <rPh sb="5" eb="6">
      <t>カイ</t>
    </rPh>
    <rPh sb="6" eb="8">
      <t>ブブン</t>
    </rPh>
    <rPh sb="9" eb="10">
      <t>バシラ</t>
    </rPh>
    <rPh sb="11" eb="13">
      <t>タンイ</t>
    </rPh>
    <rPh sb="13" eb="15">
      <t>メンセキ</t>
    </rPh>
    <rPh sb="19" eb="21">
      <t>フタン</t>
    </rPh>
    <rPh sb="21" eb="23">
      <t>カジュウ</t>
    </rPh>
    <phoneticPr fontId="1"/>
  </si>
  <si>
    <t>・外周部の柱</t>
    <rPh sb="1" eb="3">
      <t>ガイシュウ</t>
    </rPh>
    <rPh sb="3" eb="4">
      <t>ブ</t>
    </rPh>
    <rPh sb="5" eb="6">
      <t>ハシラ</t>
    </rPh>
    <phoneticPr fontId="1"/>
  </si>
  <si>
    <t>・内部の柱</t>
    <rPh sb="1" eb="3">
      <t>ナイブ</t>
    </rPh>
    <rPh sb="4" eb="5">
      <t>バシラ</t>
    </rPh>
    <phoneticPr fontId="1"/>
  </si>
  <si>
    <r>
      <t>W</t>
    </r>
    <r>
      <rPr>
        <vertAlign val="subscript"/>
        <sz val="11"/>
        <color theme="1"/>
        <rFont val="Yu Gothic"/>
        <family val="3"/>
        <charset val="128"/>
        <scheme val="minor"/>
      </rPr>
      <t>d</t>
    </r>
    <phoneticPr fontId="1"/>
  </si>
  <si>
    <r>
      <t>A</t>
    </r>
    <r>
      <rPr>
        <vertAlign val="subscript"/>
        <sz val="11"/>
        <color theme="1"/>
        <rFont val="Yu Gothic"/>
        <family val="3"/>
        <charset val="128"/>
        <scheme val="minor"/>
      </rPr>
      <t xml:space="preserve">e </t>
    </r>
    <phoneticPr fontId="1"/>
  </si>
  <si>
    <r>
      <t>F</t>
    </r>
    <r>
      <rPr>
        <vertAlign val="subscript"/>
        <sz val="11"/>
        <color theme="1"/>
        <rFont val="Yu Gothic"/>
        <family val="3"/>
        <charset val="128"/>
        <scheme val="minor"/>
      </rPr>
      <t>c</t>
    </r>
    <phoneticPr fontId="1"/>
  </si>
  <si>
    <t xml:space="preserve">階ごとに①～④の4種類までの柱材が選択できます（調達可能な材料であることは要確認）。
</t>
    <rPh sb="17" eb="19">
      <t>センタク</t>
    </rPh>
    <rPh sb="24" eb="26">
      <t>チョウタツ</t>
    </rPh>
    <rPh sb="26" eb="28">
      <t>カノウ</t>
    </rPh>
    <rPh sb="29" eb="31">
      <t>ザイリョウ</t>
    </rPh>
    <rPh sb="37" eb="40">
      <t>ヨウカクニン</t>
    </rPh>
    <phoneticPr fontId="1"/>
  </si>
  <si>
    <r>
      <t>圧縮の基準強度F</t>
    </r>
    <r>
      <rPr>
        <vertAlign val="subscript"/>
        <sz val="11"/>
        <color theme="1"/>
        <rFont val="Yu Gothic"/>
        <family val="3"/>
        <charset val="128"/>
        <scheme val="minor"/>
      </rPr>
      <t>c</t>
    </r>
    <r>
      <rPr>
        <sz val="11"/>
        <color theme="1"/>
        <rFont val="Yu Gothic"/>
        <family val="3"/>
        <charset val="128"/>
        <scheme val="minor"/>
      </rPr>
      <t xml:space="preserve">
(N/㎜</t>
    </r>
    <r>
      <rPr>
        <b/>
        <vertAlign val="superscript"/>
        <sz val="9"/>
        <color theme="1"/>
        <rFont val="Yu Gothic"/>
        <family val="3"/>
        <charset val="128"/>
        <scheme val="minor"/>
      </rPr>
      <t>2</t>
    </r>
    <r>
      <rPr>
        <b/>
        <sz val="9"/>
        <color theme="1"/>
        <rFont val="Yu Gothic"/>
        <family val="3"/>
        <charset val="128"/>
        <scheme val="minor"/>
      </rPr>
      <t>)</t>
    </r>
    <rPh sb="0" eb="2">
      <t>アッシュク</t>
    </rPh>
    <rPh sb="3" eb="7">
      <t>キジュンキョウド</t>
    </rPh>
    <phoneticPr fontId="1"/>
  </si>
  <si>
    <r>
      <t>圧縮の基準強度
F</t>
    </r>
    <r>
      <rPr>
        <vertAlign val="subscript"/>
        <sz val="9"/>
        <color theme="1"/>
        <rFont val="Yu Gothic"/>
        <family val="3"/>
        <charset val="128"/>
        <scheme val="minor"/>
      </rPr>
      <t>c</t>
    </r>
    <r>
      <rPr>
        <sz val="9"/>
        <color theme="1"/>
        <rFont val="Yu Gothic"/>
        <family val="3"/>
        <charset val="128"/>
        <scheme val="minor"/>
      </rPr>
      <t>(N/㎜</t>
    </r>
    <r>
      <rPr>
        <vertAlign val="superscript"/>
        <sz val="9"/>
        <color theme="1"/>
        <rFont val="Yu Gothic"/>
        <family val="3"/>
        <charset val="128"/>
        <scheme val="minor"/>
      </rPr>
      <t>2</t>
    </r>
    <r>
      <rPr>
        <sz val="9"/>
        <color theme="1"/>
        <rFont val="Yu Gothic"/>
        <family val="3"/>
        <charset val="128"/>
        <scheme val="minor"/>
      </rPr>
      <t>)</t>
    </r>
    <rPh sb="0" eb="2">
      <t>アッシュク</t>
    </rPh>
    <rPh sb="3" eb="7">
      <t>キジュンキョウド</t>
    </rPh>
    <phoneticPr fontId="1"/>
  </si>
  <si>
    <t xml:space="preserve">階ごとに①～③の3種類までの柱材が選択できます（調達可能な材料であることは要確認）。
</t>
    <rPh sb="14" eb="16">
      <t>ハシラザイ</t>
    </rPh>
    <rPh sb="17" eb="19">
      <t>センタク</t>
    </rPh>
    <phoneticPr fontId="1"/>
  </si>
  <si>
    <t>新しい壁量等の基準（案）に対応した表計算ツール（案）（２階建て用）（在来軸組工法用）</t>
    <rPh sb="0" eb="1">
      <t>シン</t>
    </rPh>
    <rPh sb="3" eb="4">
      <t>ヘキ</t>
    </rPh>
    <rPh sb="4" eb="5">
      <t>リョウ</t>
    </rPh>
    <rPh sb="5" eb="6">
      <t>トウ</t>
    </rPh>
    <rPh sb="7" eb="9">
      <t>キジュン</t>
    </rPh>
    <rPh sb="10" eb="11">
      <t>アン</t>
    </rPh>
    <rPh sb="13" eb="15">
      <t>タイオウ</t>
    </rPh>
    <rPh sb="17" eb="20">
      <t>ヒョウケイサン</t>
    </rPh>
    <rPh sb="24" eb="25">
      <t>アン</t>
    </rPh>
    <rPh sb="28" eb="30">
      <t>カイダ</t>
    </rPh>
    <rPh sb="31" eb="32">
      <t>ヨウ</t>
    </rPh>
    <rPh sb="34" eb="36">
      <t>ザイライ</t>
    </rPh>
    <rPh sb="36" eb="38">
      <t>ジクグミ</t>
    </rPh>
    <rPh sb="38" eb="40">
      <t>コウホウ</t>
    </rPh>
    <rPh sb="40" eb="41">
      <t>ヨウ</t>
    </rPh>
    <phoneticPr fontId="1"/>
  </si>
  <si>
    <r>
      <t>1.　階の床面積に乗ずる数値(単位 cm／m</t>
    </r>
    <r>
      <rPr>
        <vertAlign val="superscript"/>
        <sz val="12"/>
        <color theme="1"/>
        <rFont val="HG丸ｺﾞｼｯｸM-PRO"/>
        <family val="3"/>
        <charset val="128"/>
      </rPr>
      <t>2</t>
    </r>
    <r>
      <rPr>
        <sz val="12"/>
        <color theme="1"/>
        <rFont val="HG丸ｺﾞｼｯｸM-PRO"/>
        <family val="3"/>
        <charset val="128"/>
      </rPr>
      <t>)（令第46条第４項）</t>
    </r>
    <rPh sb="3" eb="4">
      <t>カイ</t>
    </rPh>
    <rPh sb="5" eb="8">
      <t>ユカメンセキ</t>
    </rPh>
    <rPh sb="9" eb="10">
      <t>ジョウ</t>
    </rPh>
    <rPh sb="12" eb="14">
      <t>スウチ</t>
    </rPh>
    <rPh sb="15" eb="17">
      <t>タンイ</t>
    </rPh>
    <rPh sb="25" eb="26">
      <t>レイ</t>
    </rPh>
    <rPh sb="26" eb="27">
      <t>ダイ</t>
    </rPh>
    <rPh sb="29" eb="30">
      <t>ジョウ</t>
    </rPh>
    <rPh sb="30" eb="31">
      <t>ダイ</t>
    </rPh>
    <rPh sb="32" eb="33">
      <t>コウ</t>
    </rPh>
    <phoneticPr fontId="1"/>
  </si>
  <si>
    <t>　2-1～2-3の３とおりの算定方法があります。</t>
    <rPh sb="14" eb="16">
      <t>サンテイ</t>
    </rPh>
    <rPh sb="16" eb="18">
      <t>ホウホウ</t>
    </rPh>
    <phoneticPr fontId="1"/>
  </si>
  <si>
    <r>
      <t>　採用する算定方法のタイトル横のチェックボックスに</t>
    </r>
    <r>
      <rPr>
        <sz val="12"/>
        <color rgb="FFFF0000"/>
        <rFont val="Segoe UI Symbol"/>
        <family val="3"/>
      </rPr>
      <t>☑</t>
    </r>
    <r>
      <rPr>
        <sz val="12"/>
        <color rgb="FFFF0000"/>
        <rFont val="Yu Gothic"/>
        <family val="3"/>
        <charset val="128"/>
        <scheme val="minor"/>
      </rPr>
      <t>をご記入ください。</t>
    </r>
    <rPh sb="5" eb="7">
      <t>サンテイ</t>
    </rPh>
    <rPh sb="14" eb="15">
      <t>ヨコ</t>
    </rPh>
    <phoneticPr fontId="1"/>
  </si>
  <si>
    <t>更新履歴年月日</t>
    <rPh sb="0" eb="2">
      <t>コウシン</t>
    </rPh>
    <rPh sb="2" eb="4">
      <t>リレキ</t>
    </rPh>
    <rPh sb="4" eb="7">
      <t>ネンガッピ</t>
    </rPh>
    <phoneticPr fontId="1"/>
  </si>
  <si>
    <t>表計算ツール(案）を公開しました。</t>
    <rPh sb="0" eb="3">
      <t>ヒョウケイサン</t>
    </rPh>
    <rPh sb="7" eb="8">
      <t>アン</t>
    </rPh>
    <rPh sb="10" eb="12">
      <t>コウカイ</t>
    </rPh>
    <phoneticPr fontId="1"/>
  </si>
  <si>
    <t>当該階が支えている部分の固定荷重と積載荷重の和。実況に応じた荷重（固定荷重、積載荷重）により算出（1－2項を参照）</t>
    <rPh sb="0" eb="2">
      <t>トウガイ</t>
    </rPh>
    <rPh sb="2" eb="3">
      <t>カイ</t>
    </rPh>
    <rPh sb="4" eb="5">
      <t>ササ</t>
    </rPh>
    <rPh sb="9" eb="11">
      <t>ブブン</t>
    </rPh>
    <rPh sb="12" eb="16">
      <t>コテイカジュウ</t>
    </rPh>
    <rPh sb="17" eb="21">
      <t>セキサイカジュウ</t>
    </rPh>
    <rPh sb="22" eb="23">
      <t>ワ</t>
    </rPh>
    <rPh sb="52" eb="53">
      <t>コウ</t>
    </rPh>
    <rPh sb="54" eb="56">
      <t>サンショウ</t>
    </rPh>
    <phoneticPr fontId="1"/>
  </si>
  <si>
    <t>GW24K 400㎜程度を想定（国土交通省によるZEH150棟調査よりカバー率9割程度として想定）</t>
    <rPh sb="13" eb="15">
      <t>ソウテイ</t>
    </rPh>
    <rPh sb="38" eb="39">
      <t>リツ</t>
    </rPh>
    <rPh sb="40" eb="43">
      <t>ワリテイド</t>
    </rPh>
    <rPh sb="46" eb="48">
      <t>ソウテイ</t>
    </rPh>
    <phoneticPr fontId="1"/>
  </si>
  <si>
    <t>※２　木造住宅の耐震診断と補強方法（日本建築防災協会より）</t>
    <rPh sb="3" eb="5">
      <t>モクゾウ</t>
    </rPh>
    <rPh sb="5" eb="7">
      <t>ジュウタク</t>
    </rPh>
    <rPh sb="8" eb="10">
      <t>タイシン</t>
    </rPh>
    <rPh sb="10" eb="12">
      <t>シンダン</t>
    </rPh>
    <rPh sb="13" eb="15">
      <t>ホキョウ</t>
    </rPh>
    <rPh sb="15" eb="17">
      <t>ホウホウ</t>
    </rPh>
    <rPh sb="18" eb="20">
      <t>ニホン</t>
    </rPh>
    <rPh sb="20" eb="22">
      <t>ケンチク</t>
    </rPh>
    <rPh sb="22" eb="24">
      <t>ボウサイ</t>
    </rPh>
    <rPh sb="24" eb="26">
      <t>キョウカイ</t>
    </rPh>
    <phoneticPr fontId="1"/>
  </si>
  <si>
    <t>外皮面積に対する開口率。本ツールでは9％としている。</t>
    <rPh sb="0" eb="2">
      <t>ガイヒ</t>
    </rPh>
    <rPh sb="2" eb="4">
      <t>メンセキ</t>
    </rPh>
    <rPh sb="5" eb="6">
      <t>タイ</t>
    </rPh>
    <rPh sb="8" eb="11">
      <t>カイコウリツ</t>
    </rPh>
    <rPh sb="12" eb="13">
      <t>ホン</t>
    </rPh>
    <phoneticPr fontId="1"/>
  </si>
  <si>
    <t>GW24K 170㎜（40）＋ 胴縁（30）程度（国土交通省によるZEH150棟調査よりカバー率9割程度として想定）</t>
    <phoneticPr fontId="1"/>
  </si>
  <si>
    <t>開口率（外壁に対する開口の比率）９％程度（国土交通省によるZEH150棟調査よりカバー率9割程度として想定）</t>
    <phoneticPr fontId="1"/>
  </si>
  <si>
    <r>
      <t>層せん断力分布係数</t>
    </r>
    <r>
      <rPr>
        <i/>
        <sz val="11"/>
        <color theme="1"/>
        <rFont val="Yu Gothic"/>
        <family val="3"/>
        <charset val="128"/>
        <scheme val="minor"/>
      </rPr>
      <t>A</t>
    </r>
    <r>
      <rPr>
        <vertAlign val="subscript"/>
        <sz val="11"/>
        <color theme="1"/>
        <rFont val="Yu Gothic"/>
        <family val="3"/>
        <charset val="128"/>
        <scheme val="minor"/>
      </rPr>
      <t>i</t>
    </r>
    <phoneticPr fontId="1"/>
  </si>
  <si>
    <r>
      <rPr>
        <i/>
        <sz val="11"/>
        <color theme="1"/>
        <rFont val="Yu Gothic"/>
        <family val="3"/>
        <charset val="128"/>
        <scheme val="minor"/>
      </rPr>
      <t>α</t>
    </r>
    <r>
      <rPr>
        <vertAlign val="subscript"/>
        <sz val="11"/>
        <color theme="1"/>
        <rFont val="Yu Gothic"/>
        <family val="3"/>
        <charset val="128"/>
        <scheme val="minor"/>
      </rPr>
      <t>i</t>
    </r>
    <phoneticPr fontId="1"/>
  </si>
  <si>
    <r>
      <t>標準せん断力係数</t>
    </r>
    <r>
      <rPr>
        <i/>
        <sz val="11"/>
        <color theme="1"/>
        <rFont val="Yu Gothic"/>
        <family val="3"/>
        <charset val="128"/>
        <scheme val="minor"/>
      </rPr>
      <t>C</t>
    </r>
    <r>
      <rPr>
        <vertAlign val="subscript"/>
        <sz val="11"/>
        <color theme="1"/>
        <rFont val="Yu Gothic"/>
        <family val="3"/>
        <charset val="128"/>
        <scheme val="minor"/>
      </rPr>
      <t>0</t>
    </r>
    <rPh sb="0" eb="2">
      <t>ヒョウジュン</t>
    </rPh>
    <rPh sb="4" eb="5">
      <t>ダン</t>
    </rPh>
    <rPh sb="5" eb="6">
      <t>リョク</t>
    </rPh>
    <rPh sb="6" eb="8">
      <t>ケイスウ</t>
    </rPh>
    <phoneticPr fontId="1"/>
  </si>
  <si>
    <r>
      <t>1－2　当該階が支えている部分の固定荷重と積載荷重の和Σ</t>
    </r>
    <r>
      <rPr>
        <i/>
        <sz val="11"/>
        <color theme="1"/>
        <rFont val="ＭＳ ゴシック"/>
        <family val="3"/>
        <charset val="128"/>
      </rPr>
      <t>w</t>
    </r>
    <r>
      <rPr>
        <vertAlign val="subscript"/>
        <sz val="11"/>
        <color theme="1"/>
        <rFont val="ＭＳ ゴシック"/>
        <family val="3"/>
        <charset val="128"/>
      </rPr>
      <t>i</t>
    </r>
    <r>
      <rPr>
        <sz val="11"/>
        <color theme="1"/>
        <rFont val="ＭＳ ゴシック"/>
        <family val="3"/>
        <charset val="128"/>
      </rPr>
      <t>の算出方法</t>
    </r>
    <rPh sb="4" eb="7">
      <t>トウガイカイ</t>
    </rPh>
    <rPh sb="8" eb="9">
      <t>ササ</t>
    </rPh>
    <rPh sb="13" eb="15">
      <t>ブブン</t>
    </rPh>
    <rPh sb="16" eb="20">
      <t>コテイカジュウ</t>
    </rPh>
    <rPh sb="21" eb="25">
      <t>セキサイカジュウ</t>
    </rPh>
    <rPh sb="26" eb="27">
      <t>ワ</t>
    </rPh>
    <rPh sb="31" eb="33">
      <t>サンシュツ</t>
    </rPh>
    <rPh sb="33" eb="35">
      <t>ホウホウ</t>
    </rPh>
    <phoneticPr fontId="1"/>
  </si>
  <si>
    <r>
      <t>Σ</t>
    </r>
    <r>
      <rPr>
        <i/>
        <sz val="11"/>
        <color theme="1"/>
        <rFont val="Yu Gothic"/>
        <family val="3"/>
        <charset val="128"/>
        <scheme val="minor"/>
      </rPr>
      <t>w</t>
    </r>
    <r>
      <rPr>
        <vertAlign val="subscript"/>
        <sz val="11"/>
        <color theme="1"/>
        <rFont val="Yu Gothic"/>
        <family val="3"/>
        <charset val="128"/>
        <scheme val="minor"/>
      </rPr>
      <t>2-2</t>
    </r>
    <phoneticPr fontId="1"/>
  </si>
  <si>
    <r>
      <t>Σ</t>
    </r>
    <r>
      <rPr>
        <i/>
        <sz val="11"/>
        <color theme="1"/>
        <rFont val="Yu Gothic"/>
        <family val="3"/>
        <charset val="128"/>
        <scheme val="minor"/>
      </rPr>
      <t>w</t>
    </r>
    <r>
      <rPr>
        <vertAlign val="subscript"/>
        <sz val="11"/>
        <color theme="1"/>
        <rFont val="Yu Gothic"/>
        <family val="3"/>
        <charset val="128"/>
        <scheme val="minor"/>
      </rPr>
      <t>2-1</t>
    </r>
    <phoneticPr fontId="1"/>
  </si>
  <si>
    <r>
      <t>Σ</t>
    </r>
    <r>
      <rPr>
        <i/>
        <sz val="11"/>
        <color theme="1"/>
        <rFont val="Yu Gothic"/>
        <family val="3"/>
        <charset val="128"/>
        <scheme val="minor"/>
      </rPr>
      <t>w</t>
    </r>
    <r>
      <rPr>
        <vertAlign val="subscript"/>
        <sz val="11"/>
        <color theme="1"/>
        <rFont val="Yu Gothic"/>
        <family val="3"/>
        <charset val="128"/>
        <scheme val="minor"/>
      </rPr>
      <t>1</t>
    </r>
    <phoneticPr fontId="1"/>
  </si>
  <si>
    <r>
      <rPr>
        <i/>
        <sz val="11"/>
        <color theme="1"/>
        <rFont val="Yu Gothic"/>
        <family val="3"/>
        <charset val="128"/>
        <scheme val="minor"/>
      </rPr>
      <t>P</t>
    </r>
    <r>
      <rPr>
        <vertAlign val="subscript"/>
        <sz val="11"/>
        <color theme="1"/>
        <rFont val="Yu Gothic"/>
        <family val="3"/>
        <charset val="128"/>
        <scheme val="minor"/>
      </rPr>
      <t>1</t>
    </r>
    <phoneticPr fontId="1"/>
  </si>
  <si>
    <r>
      <rPr>
        <i/>
        <sz val="11"/>
        <color theme="1"/>
        <rFont val="Yu Gothic"/>
        <family val="3"/>
        <charset val="128"/>
        <scheme val="minor"/>
      </rPr>
      <t>D</t>
    </r>
    <r>
      <rPr>
        <vertAlign val="subscript"/>
        <sz val="11"/>
        <color theme="1"/>
        <rFont val="Yu Gothic"/>
        <family val="3"/>
        <charset val="128"/>
        <scheme val="minor"/>
      </rPr>
      <t>1</t>
    </r>
    <phoneticPr fontId="1"/>
  </si>
  <si>
    <r>
      <rPr>
        <i/>
        <sz val="11"/>
        <color theme="1"/>
        <rFont val="Yu Gothic"/>
        <family val="3"/>
        <charset val="128"/>
        <scheme val="minor"/>
      </rPr>
      <t>D</t>
    </r>
    <r>
      <rPr>
        <vertAlign val="subscript"/>
        <sz val="11"/>
        <color theme="1"/>
        <rFont val="Yu Gothic"/>
        <family val="3"/>
        <charset val="128"/>
        <scheme val="minor"/>
      </rPr>
      <t>2</t>
    </r>
    <phoneticPr fontId="1"/>
  </si>
  <si>
    <r>
      <rPr>
        <i/>
        <sz val="11"/>
        <color theme="1"/>
        <rFont val="Yu Gothic"/>
        <family val="3"/>
        <charset val="128"/>
        <scheme val="minor"/>
      </rPr>
      <t>D</t>
    </r>
    <r>
      <rPr>
        <vertAlign val="subscript"/>
        <sz val="11"/>
        <color theme="1"/>
        <rFont val="Yu Gothic"/>
        <family val="3"/>
        <charset val="128"/>
        <scheme val="minor"/>
      </rPr>
      <t>3</t>
    </r>
    <phoneticPr fontId="1"/>
  </si>
  <si>
    <r>
      <rPr>
        <i/>
        <sz val="11"/>
        <color theme="1"/>
        <rFont val="Yu Gothic"/>
        <family val="3"/>
        <charset val="128"/>
        <scheme val="minor"/>
      </rPr>
      <t>D</t>
    </r>
    <r>
      <rPr>
        <vertAlign val="subscript"/>
        <sz val="11"/>
        <color theme="1"/>
        <rFont val="Yu Gothic"/>
        <family val="3"/>
        <charset val="128"/>
        <scheme val="minor"/>
      </rPr>
      <t>4</t>
    </r>
    <phoneticPr fontId="1"/>
  </si>
  <si>
    <r>
      <rPr>
        <i/>
        <sz val="11"/>
        <color theme="1"/>
        <rFont val="Yu Gothic"/>
        <family val="3"/>
        <charset val="128"/>
        <scheme val="minor"/>
      </rPr>
      <t>h</t>
    </r>
    <r>
      <rPr>
        <vertAlign val="subscript"/>
        <sz val="11"/>
        <color theme="1"/>
        <rFont val="Yu Gothic"/>
        <family val="3"/>
        <charset val="128"/>
        <scheme val="minor"/>
      </rPr>
      <t>i</t>
    </r>
    <phoneticPr fontId="1"/>
  </si>
  <si>
    <r>
      <rPr>
        <i/>
        <sz val="11"/>
        <color theme="1"/>
        <rFont val="Yu Gothic"/>
        <family val="3"/>
        <charset val="128"/>
        <scheme val="minor"/>
      </rPr>
      <t>W</t>
    </r>
    <r>
      <rPr>
        <vertAlign val="subscript"/>
        <sz val="11"/>
        <color theme="1"/>
        <rFont val="Yu Gothic"/>
        <family val="3"/>
        <charset val="128"/>
        <scheme val="minor"/>
      </rPr>
      <t xml:space="preserve">dO2-2 </t>
    </r>
    <phoneticPr fontId="1"/>
  </si>
  <si>
    <r>
      <rPr>
        <i/>
        <sz val="11"/>
        <color theme="1"/>
        <rFont val="Yu Gothic"/>
        <family val="3"/>
        <charset val="128"/>
        <scheme val="minor"/>
      </rPr>
      <t>W</t>
    </r>
    <r>
      <rPr>
        <vertAlign val="subscript"/>
        <sz val="11"/>
        <color theme="1"/>
        <rFont val="Yu Gothic"/>
        <family val="3"/>
        <charset val="128"/>
        <scheme val="minor"/>
      </rPr>
      <t xml:space="preserve">dI2-2 </t>
    </r>
    <phoneticPr fontId="1"/>
  </si>
  <si>
    <r>
      <rPr>
        <i/>
        <sz val="11"/>
        <color theme="1"/>
        <rFont val="Yu Gothic"/>
        <family val="3"/>
        <charset val="128"/>
        <scheme val="minor"/>
      </rPr>
      <t>W</t>
    </r>
    <r>
      <rPr>
        <vertAlign val="subscript"/>
        <sz val="11"/>
        <color theme="1"/>
        <rFont val="Yu Gothic"/>
        <family val="3"/>
        <charset val="128"/>
        <scheme val="minor"/>
      </rPr>
      <t xml:space="preserve">dO2-1 </t>
    </r>
    <phoneticPr fontId="1"/>
  </si>
  <si>
    <r>
      <rPr>
        <i/>
        <sz val="11"/>
        <color theme="1"/>
        <rFont val="Yu Gothic"/>
        <family val="3"/>
        <charset val="128"/>
        <scheme val="minor"/>
      </rPr>
      <t>W</t>
    </r>
    <r>
      <rPr>
        <vertAlign val="subscript"/>
        <sz val="11"/>
        <color theme="1"/>
        <rFont val="Yu Gothic"/>
        <family val="3"/>
        <charset val="128"/>
        <scheme val="minor"/>
      </rPr>
      <t xml:space="preserve">dI2-1 </t>
    </r>
    <phoneticPr fontId="1"/>
  </si>
  <si>
    <r>
      <rPr>
        <i/>
        <sz val="11"/>
        <color theme="1"/>
        <rFont val="Yu Gothic"/>
        <family val="3"/>
        <charset val="128"/>
        <scheme val="minor"/>
      </rPr>
      <t>W</t>
    </r>
    <r>
      <rPr>
        <vertAlign val="subscript"/>
        <sz val="11"/>
        <color theme="1"/>
        <rFont val="Yu Gothic"/>
        <family val="3"/>
        <charset val="128"/>
        <scheme val="minor"/>
      </rPr>
      <t xml:space="preserve">dO1 </t>
    </r>
    <phoneticPr fontId="1"/>
  </si>
  <si>
    <r>
      <rPr>
        <i/>
        <sz val="11"/>
        <color theme="1"/>
        <rFont val="Yu Gothic"/>
        <family val="3"/>
        <charset val="128"/>
        <scheme val="minor"/>
      </rPr>
      <t>W</t>
    </r>
    <r>
      <rPr>
        <vertAlign val="subscript"/>
        <sz val="11"/>
        <color theme="1"/>
        <rFont val="Yu Gothic"/>
        <family val="3"/>
        <charset val="128"/>
        <scheme val="minor"/>
      </rPr>
      <t xml:space="preserve">dI1 </t>
    </r>
    <phoneticPr fontId="1"/>
  </si>
  <si>
    <t>　「2．柱の小径の算出方法」で選択可能な「無等級材」とは、平成12建告1452号第五号の無等級材に示す基準強度を用いている。同告示に規定する無等級材の基準強度は、旧製材の日本農林規格（昭和42年農林水産省告示第1842号）第10条において1等に格付けされる木材の強度（表2－5）に基づいた数値である。よって、無等級材の強度を用いる場合には、表2－5と同等以上の品質を有する材料を用いるか、強度の低減などの適切な措置を講じるといった配慮が必要となる。</t>
    <rPh sb="15" eb="17">
      <t>センタク</t>
    </rPh>
    <rPh sb="17" eb="19">
      <t>カノウ</t>
    </rPh>
    <rPh sb="21" eb="22">
      <t>ム</t>
    </rPh>
    <rPh sb="22" eb="25">
      <t>トウキュウザイ</t>
    </rPh>
    <rPh sb="29" eb="31">
      <t>ヘイセイ</t>
    </rPh>
    <rPh sb="33" eb="34">
      <t>ケン</t>
    </rPh>
    <rPh sb="34" eb="35">
      <t>コク</t>
    </rPh>
    <rPh sb="39" eb="40">
      <t>ゴウ</t>
    </rPh>
    <rPh sb="40" eb="41">
      <t>ダイ</t>
    </rPh>
    <rPh sb="44" eb="48">
      <t>ムトウキュウザイ</t>
    </rPh>
    <rPh sb="49" eb="50">
      <t>シメ</t>
    </rPh>
    <rPh sb="51" eb="53">
      <t>キジュン</t>
    </rPh>
    <rPh sb="53" eb="55">
      <t>キョウド</t>
    </rPh>
    <rPh sb="56" eb="57">
      <t>モチ</t>
    </rPh>
    <rPh sb="62" eb="63">
      <t>ドウ</t>
    </rPh>
    <rPh sb="63" eb="65">
      <t>コクジ</t>
    </rPh>
    <rPh sb="66" eb="68">
      <t>キテイ</t>
    </rPh>
    <rPh sb="70" eb="74">
      <t>ムトウキュウザイ</t>
    </rPh>
    <rPh sb="75" eb="79">
      <t>キジュンキョウド</t>
    </rPh>
    <rPh sb="81" eb="82">
      <t>キュウ</t>
    </rPh>
    <rPh sb="82" eb="84">
      <t>セイザイ</t>
    </rPh>
    <rPh sb="85" eb="91">
      <t>ニホンノウリンキカク</t>
    </rPh>
    <rPh sb="120" eb="121">
      <t>トウ</t>
    </rPh>
    <rPh sb="122" eb="124">
      <t>カクヅ</t>
    </rPh>
    <rPh sb="128" eb="130">
      <t>モクザイ</t>
    </rPh>
    <rPh sb="131" eb="133">
      <t>キョウド</t>
    </rPh>
    <rPh sb="134" eb="135">
      <t>ヒョウ</t>
    </rPh>
    <rPh sb="140" eb="141">
      <t>モト</t>
    </rPh>
    <rPh sb="144" eb="146">
      <t>スウチ</t>
    </rPh>
    <rPh sb="154" eb="155">
      <t>ム</t>
    </rPh>
    <rPh sb="155" eb="158">
      <t>トウキュウザイ</t>
    </rPh>
    <rPh sb="159" eb="161">
      <t>キョウド</t>
    </rPh>
    <rPh sb="162" eb="163">
      <t>モチ</t>
    </rPh>
    <rPh sb="165" eb="167">
      <t>バアイ</t>
    </rPh>
    <rPh sb="170" eb="171">
      <t>ヒョウ</t>
    </rPh>
    <rPh sb="175" eb="179">
      <t>ドウトウイジョウ</t>
    </rPh>
    <rPh sb="180" eb="182">
      <t>ヒンシツ</t>
    </rPh>
    <rPh sb="183" eb="184">
      <t>ユウ</t>
    </rPh>
    <rPh sb="186" eb="188">
      <t>ザイリョウ</t>
    </rPh>
    <rPh sb="189" eb="190">
      <t>モチ</t>
    </rPh>
    <rPh sb="194" eb="196">
      <t>キョウド</t>
    </rPh>
    <rPh sb="197" eb="199">
      <t>テイゲン</t>
    </rPh>
    <rPh sb="202" eb="204">
      <t>テキセツ</t>
    </rPh>
    <rPh sb="205" eb="207">
      <t>ソチ</t>
    </rPh>
    <rPh sb="208" eb="209">
      <t>コウ</t>
    </rPh>
    <rPh sb="215" eb="217">
      <t>ハイリョ</t>
    </rPh>
    <rPh sb="218" eb="220">
      <t>ヒツヨウ</t>
    </rPh>
    <phoneticPr fontId="1"/>
  </si>
  <si>
    <t>新しい壁量等の基準（案）に対応した表計算ツール（案）（平屋建て用）（在来軸組工法用）</t>
    <rPh sb="0" eb="1">
      <t>シン</t>
    </rPh>
    <rPh sb="3" eb="4">
      <t>ヘキ</t>
    </rPh>
    <rPh sb="4" eb="5">
      <t>リョウ</t>
    </rPh>
    <rPh sb="5" eb="6">
      <t>トウ</t>
    </rPh>
    <rPh sb="7" eb="9">
      <t>キジュン</t>
    </rPh>
    <rPh sb="10" eb="11">
      <t>アン</t>
    </rPh>
    <rPh sb="13" eb="15">
      <t>タイオウ</t>
    </rPh>
    <rPh sb="17" eb="20">
      <t>ヒョウケイサン</t>
    </rPh>
    <rPh sb="24" eb="25">
      <t>アン</t>
    </rPh>
    <rPh sb="27" eb="29">
      <t>ヒラヤ</t>
    </rPh>
    <rPh sb="29" eb="30">
      <t>ダ</t>
    </rPh>
    <rPh sb="31" eb="32">
      <t>ヨウ</t>
    </rPh>
    <rPh sb="34" eb="36">
      <t>ザイライ</t>
    </rPh>
    <rPh sb="36" eb="38">
      <t>ジクグミ</t>
    </rPh>
    <rPh sb="38" eb="40">
      <t>コウホウ</t>
    </rPh>
    <rPh sb="40" eb="41">
      <t>ヨウ</t>
    </rPh>
    <phoneticPr fontId="1"/>
  </si>
  <si>
    <r>
      <t>*</t>
    </r>
    <r>
      <rPr>
        <vertAlign val="superscript"/>
        <sz val="11"/>
        <color rgb="FFFF0000"/>
        <rFont val="Yu Gothic"/>
        <family val="3"/>
        <charset val="128"/>
        <scheme val="minor"/>
      </rPr>
      <t>4</t>
    </r>
    <r>
      <rPr>
        <sz val="11"/>
        <color rgb="FFFF0000"/>
        <rFont val="Yu Gothic"/>
        <family val="3"/>
        <charset val="128"/>
        <scheme val="minor"/>
      </rPr>
      <t>：すぎ、無等級材（平成12年建設省告示第1452号第5号）を前提として算定。解説・注意事項は</t>
    </r>
    <rPh sb="6" eb="7">
      <t>ム</t>
    </rPh>
    <rPh sb="7" eb="10">
      <t>トウキュウザイ</t>
    </rPh>
    <rPh sb="11" eb="13">
      <t>ヘイセイ</t>
    </rPh>
    <rPh sb="15" eb="16">
      <t>ネン</t>
    </rPh>
    <rPh sb="16" eb="21">
      <t>ケンセツショウコクジ</t>
    </rPh>
    <rPh sb="21" eb="22">
      <t>ダイ</t>
    </rPh>
    <rPh sb="26" eb="27">
      <t>ゴウ</t>
    </rPh>
    <rPh sb="27" eb="28">
      <t>ダイ</t>
    </rPh>
    <rPh sb="29" eb="30">
      <t>ゴウ</t>
    </rPh>
    <rPh sb="32" eb="34">
      <t>ゼンテイ</t>
    </rPh>
    <rPh sb="37" eb="39">
      <t>サンテイ</t>
    </rPh>
    <rPh sb="40" eb="42">
      <t>カイセツ</t>
    </rPh>
    <rPh sb="43" eb="47">
      <t>チュウイジコウ</t>
    </rPh>
    <phoneticPr fontId="1"/>
  </si>
  <si>
    <t>E95-F315(4層以上)</t>
  </si>
  <si>
    <t>　公益財団法人日本住宅・木材技術センター</t>
  </si>
  <si>
    <t>新しい壁量等の基準（案）に対応した表計算ツール（案）（在来軸組工法用）の解説・注意事項（案）</t>
    <rPh sb="5" eb="6">
      <t>トウ</t>
    </rPh>
    <rPh sb="17" eb="20">
      <t>ヒョウケイサン</t>
    </rPh>
    <rPh sb="24" eb="25">
      <t>アン</t>
    </rPh>
    <rPh sb="36" eb="38">
      <t>カイセツ</t>
    </rPh>
    <rPh sb="39" eb="43">
      <t>チュウイジコウ</t>
    </rPh>
    <rPh sb="44" eb="45">
      <t>アン</t>
    </rPh>
    <phoneticPr fontId="1"/>
  </si>
  <si>
    <t>軒の出が600㎜を超える場合、屋根の勾配が5寸を超える場合は、割増率の変更を行う必要がある。</t>
    <rPh sb="0" eb="1">
      <t>ノキ</t>
    </rPh>
    <rPh sb="2" eb="3">
      <t>デ</t>
    </rPh>
    <rPh sb="9" eb="10">
      <t>コ</t>
    </rPh>
    <rPh sb="12" eb="14">
      <t>バアイ</t>
    </rPh>
    <rPh sb="15" eb="17">
      <t>ヤネ</t>
    </rPh>
    <rPh sb="18" eb="20">
      <t>コウバイ</t>
    </rPh>
    <rPh sb="22" eb="23">
      <t>スン</t>
    </rPh>
    <rPh sb="24" eb="25">
      <t>コ</t>
    </rPh>
    <rPh sb="27" eb="29">
      <t>バアイ</t>
    </rPh>
    <rPh sb="31" eb="34">
      <t>ワリマシリツ</t>
    </rPh>
    <rPh sb="35" eb="37">
      <t>ヘンコウ</t>
    </rPh>
    <rPh sb="38" eb="39">
      <t>オコナ</t>
    </rPh>
    <rPh sb="40" eb="42">
      <t>ヒツヨウ</t>
    </rPh>
    <phoneticPr fontId="1"/>
  </si>
  <si>
    <t xml:space="preserve">階ごとに①～④の4種類までの柱材が選択できます。
</t>
    <rPh sb="17" eb="19">
      <t>センタク</t>
    </rPh>
    <phoneticPr fontId="1"/>
  </si>
  <si>
    <t xml:space="preserve">階ごとに①～③の3種類までの柱材が選択できます。
</t>
    <rPh sb="14" eb="16">
      <t>ハシラザイ</t>
    </rPh>
    <rPh sb="17" eb="19">
      <t>センタク</t>
    </rPh>
    <phoneticPr fontId="1"/>
  </si>
  <si>
    <t>（１）水平構面の床面積当たりの荷重</t>
    <rPh sb="3" eb="5">
      <t>スイヘイ</t>
    </rPh>
    <rPh sb="5" eb="7">
      <t>コウメン</t>
    </rPh>
    <rPh sb="8" eb="11">
      <t>ユカメンセキ</t>
    </rPh>
    <rPh sb="11" eb="12">
      <t>ア</t>
    </rPh>
    <rPh sb="15" eb="17">
      <t>カジュウ</t>
    </rPh>
    <phoneticPr fontId="1"/>
  </si>
  <si>
    <t>（２）鉛直構面の床面積当たりの荷重</t>
    <rPh sb="3" eb="5">
      <t>エンチョク</t>
    </rPh>
    <rPh sb="5" eb="7">
      <t>コウメン</t>
    </rPh>
    <rPh sb="8" eb="11">
      <t>ユカメンセキ</t>
    </rPh>
    <rPh sb="11" eb="12">
      <t>ア</t>
    </rPh>
    <rPh sb="15" eb="17">
      <t>カジュウ</t>
    </rPh>
    <phoneticPr fontId="1"/>
  </si>
  <si>
    <r>
      <t>（３）　柱の有効細長比の検討による柱の必要小径</t>
    </r>
    <r>
      <rPr>
        <i/>
        <sz val="11"/>
        <color theme="1"/>
        <rFont val="Yu Gothic"/>
        <family val="3"/>
        <charset val="128"/>
        <scheme val="minor"/>
      </rPr>
      <t>d</t>
    </r>
    <r>
      <rPr>
        <i/>
        <vertAlign val="subscript"/>
        <sz val="11"/>
        <color theme="1"/>
        <rFont val="Yu Gothic"/>
        <family val="3"/>
        <charset val="128"/>
        <scheme val="minor"/>
      </rPr>
      <t>se</t>
    </r>
    <r>
      <rPr>
        <sz val="11"/>
        <color theme="1"/>
        <rFont val="Yu Gothic"/>
        <family val="3"/>
        <charset val="128"/>
        <scheme val="minor"/>
      </rPr>
      <t>の算出方法(オイラー式）</t>
    </r>
    <rPh sb="4" eb="5">
      <t>ハシラ</t>
    </rPh>
    <rPh sb="6" eb="11">
      <t>ユウコウホソナガヒ</t>
    </rPh>
    <rPh sb="12" eb="14">
      <t>ケントウ</t>
    </rPh>
    <rPh sb="17" eb="18">
      <t>ハシラ</t>
    </rPh>
    <rPh sb="19" eb="21">
      <t>ヒツヨウ</t>
    </rPh>
    <rPh sb="21" eb="23">
      <t>ショウケイ</t>
    </rPh>
    <rPh sb="36" eb="37">
      <t>シキ</t>
    </rPh>
    <phoneticPr fontId="1"/>
  </si>
  <si>
    <r>
      <t>（２）　柱の座屈の検討による柱の必要小径</t>
    </r>
    <r>
      <rPr>
        <i/>
        <sz val="11"/>
        <color theme="1"/>
        <rFont val="Yu Gothic"/>
        <family val="3"/>
        <charset val="128"/>
        <scheme val="minor"/>
      </rPr>
      <t>d</t>
    </r>
    <r>
      <rPr>
        <i/>
        <vertAlign val="subscript"/>
        <sz val="11"/>
        <color theme="1"/>
        <rFont val="Yu Gothic"/>
        <family val="3"/>
        <charset val="128"/>
        <scheme val="minor"/>
      </rPr>
      <t>be</t>
    </r>
    <r>
      <rPr>
        <sz val="11"/>
        <color theme="1"/>
        <rFont val="Yu Gothic"/>
        <family val="3"/>
        <charset val="128"/>
        <scheme val="minor"/>
      </rPr>
      <t>の算出方法</t>
    </r>
    <rPh sb="4" eb="5">
      <t>ハシラ</t>
    </rPh>
    <rPh sb="6" eb="8">
      <t>ザクツ</t>
    </rPh>
    <rPh sb="9" eb="11">
      <t>ケントウ</t>
    </rPh>
    <rPh sb="14" eb="15">
      <t>ハシラ</t>
    </rPh>
    <rPh sb="16" eb="18">
      <t>ヒツヨウ</t>
    </rPh>
    <rPh sb="18" eb="20">
      <t>ショウケイ</t>
    </rPh>
    <phoneticPr fontId="1"/>
  </si>
  <si>
    <t>本計算では、軒の出450～600㎜、屋根勾配5寸（×1.3（割増率））を想定している。</t>
    <rPh sb="0" eb="1">
      <t>ホン</t>
    </rPh>
    <rPh sb="1" eb="3">
      <t>ケイサン</t>
    </rPh>
    <rPh sb="6" eb="7">
      <t>ノキ</t>
    </rPh>
    <rPh sb="8" eb="9">
      <t>デ</t>
    </rPh>
    <rPh sb="18" eb="20">
      <t>ヤネ</t>
    </rPh>
    <rPh sb="20" eb="22">
      <t>コウバイ</t>
    </rPh>
    <rPh sb="23" eb="24">
      <t>スン</t>
    </rPh>
    <rPh sb="30" eb="33">
      <t>ワリマシリツ</t>
    </rPh>
    <rPh sb="36" eb="38">
      <t>ソウテイ</t>
    </rPh>
    <phoneticPr fontId="1"/>
  </si>
  <si>
    <t>※</t>
    <phoneticPr fontId="1"/>
  </si>
  <si>
    <t>例えば、固定荷重の想定(表1－3、表1－5）の仕様から外れる仕様を用いる場合には、実際の固定荷重に比べて重い仕様を選択することなどが考えられる。また、軒の出が600㎜を超える場合、屋根の勾配が5寸を超える場合は、太陽光発電設備等の荷重の算定によって、割増を行う等の調整が必要である。</t>
    <phoneticPr fontId="1"/>
  </si>
  <si>
    <t>・柱の割り付け方法については、別添「「柱が負担する床面積」の確認方法（例）」が参考となる。</t>
    <rPh sb="1" eb="2">
      <t>ハシラ</t>
    </rPh>
    <rPh sb="3" eb="4">
      <t>ワ</t>
    </rPh>
    <rPh sb="5" eb="6">
      <t>ツ</t>
    </rPh>
    <rPh sb="7" eb="9">
      <t>ホウホウ</t>
    </rPh>
    <rPh sb="15" eb="17">
      <t>ベッテン</t>
    </rPh>
    <rPh sb="39" eb="41">
      <t>サンコウ</t>
    </rPh>
    <phoneticPr fontId="1"/>
  </si>
  <si>
    <t>土台上端～梁上端までの距離</t>
    <rPh sb="0" eb="2">
      <t>ドダイ</t>
    </rPh>
    <rPh sb="2" eb="4">
      <t>ジョウタン</t>
    </rPh>
    <rPh sb="5" eb="6">
      <t>ハリ</t>
    </rPh>
    <rPh sb="6" eb="8">
      <t>ジョウタン</t>
    </rPh>
    <rPh sb="11" eb="13">
      <t>キョリ</t>
    </rPh>
    <phoneticPr fontId="1"/>
  </si>
  <si>
    <r>
      <t>・表計算ツール（平屋建て）の1階階高の入力の注意点等を「1階土台上端～2階床梁上端までの距離」から「土台上端～梁上端までの距離」に修正しました。
・表計算ツールの解説・注意事項の2(4)に「ただし、積載荷重については1300N/㎜</t>
    </r>
    <r>
      <rPr>
        <vertAlign val="superscript"/>
        <sz val="11"/>
        <color theme="1"/>
        <rFont val="Yu Gothic"/>
        <family val="3"/>
        <charset val="128"/>
        <scheme val="minor"/>
      </rPr>
      <t>2</t>
    </r>
    <r>
      <rPr>
        <sz val="11"/>
        <color theme="1"/>
        <rFont val="Yu Gothic"/>
        <family val="2"/>
        <scheme val="minor"/>
      </rPr>
      <t>とする。」を追記しました。</t>
    </r>
    <rPh sb="1" eb="4">
      <t>ヒョウケイサン</t>
    </rPh>
    <rPh sb="8" eb="11">
      <t>ヒラヤダ</t>
    </rPh>
    <rPh sb="15" eb="18">
      <t>カイカイダカ</t>
    </rPh>
    <rPh sb="29" eb="30">
      <t>カイ</t>
    </rPh>
    <rPh sb="36" eb="37">
      <t>カイ</t>
    </rPh>
    <rPh sb="37" eb="38">
      <t>ユカ</t>
    </rPh>
    <rPh sb="65" eb="67">
      <t>シュウセイ</t>
    </rPh>
    <rPh sb="74" eb="77">
      <t>ヒョウケイサン</t>
    </rPh>
    <rPh sb="81" eb="83">
      <t>カイセツ</t>
    </rPh>
    <rPh sb="84" eb="88">
      <t>チュウイジコウ</t>
    </rPh>
    <rPh sb="122" eb="124">
      <t>ツイキ</t>
    </rPh>
    <phoneticPr fontId="1"/>
  </si>
  <si>
    <t>図1－2は1階の2階の面積比率に応じて、1階の下屋を含む場合、含まない場合に分かれるので1階と2階の面積の最大値とした。</t>
    <rPh sb="0" eb="1">
      <t>ズ</t>
    </rPh>
    <rPh sb="6" eb="7">
      <t>カイ</t>
    </rPh>
    <rPh sb="9" eb="10">
      <t>カイ</t>
    </rPh>
    <rPh sb="11" eb="13">
      <t>メンセキ</t>
    </rPh>
    <rPh sb="13" eb="15">
      <t>ヒリツ</t>
    </rPh>
    <rPh sb="16" eb="17">
      <t>オウ</t>
    </rPh>
    <rPh sb="21" eb="22">
      <t>カイ</t>
    </rPh>
    <rPh sb="23" eb="25">
      <t>ゲヤ</t>
    </rPh>
    <rPh sb="26" eb="27">
      <t>フク</t>
    </rPh>
    <rPh sb="28" eb="30">
      <t>バアイ</t>
    </rPh>
    <rPh sb="31" eb="32">
      <t>フク</t>
    </rPh>
    <rPh sb="35" eb="37">
      <t>バアイ</t>
    </rPh>
    <rPh sb="38" eb="39">
      <t>ワ</t>
    </rPh>
    <rPh sb="45" eb="46">
      <t>カイ</t>
    </rPh>
    <rPh sb="48" eb="49">
      <t>カイ</t>
    </rPh>
    <rPh sb="50" eb="52">
      <t>メンセキ</t>
    </rPh>
    <rPh sb="53" eb="56">
      <t>サイダイチ</t>
    </rPh>
    <phoneticPr fontId="1"/>
  </si>
  <si>
    <t>柱の細長比に応じて、3つの条件式から算出する。</t>
    <rPh sb="0" eb="1">
      <t>ハシラ</t>
    </rPh>
    <rPh sb="2" eb="5">
      <t>ホソナガヒ</t>
    </rPh>
    <rPh sb="6" eb="7">
      <t>オウ</t>
    </rPh>
    <rPh sb="13" eb="16">
      <t>ジョウケンシキ</t>
    </rPh>
    <rPh sb="18" eb="20">
      <t>サンシュツ</t>
    </rPh>
    <phoneticPr fontId="1"/>
  </si>
  <si>
    <t>柱の床面積当たりの負担荷重。階及び柱の部位ごとに表2－3の変数を取る。</t>
    <rPh sb="14" eb="16">
      <t>カイオヨ</t>
    </rPh>
    <rPh sb="17" eb="18">
      <t>ハシラ</t>
    </rPh>
    <rPh sb="19" eb="21">
      <t>ブイ</t>
    </rPh>
    <rPh sb="24" eb="25">
      <t>ヒョウ</t>
    </rPh>
    <rPh sb="29" eb="31">
      <t>ヘンスウ</t>
    </rPh>
    <rPh sb="32" eb="33">
      <t>ト</t>
    </rPh>
    <phoneticPr fontId="1"/>
  </si>
  <si>
    <t>※針葉樹の製材にあっては15%以下、広葉樹の製材にあっては13%以下であること</t>
    <phoneticPr fontId="1"/>
  </si>
  <si>
    <t>表2－6　旧製材の日本農林規格（昭和42年農林水産省告示第1842号）別記１の(1)板類</t>
    <rPh sb="0" eb="1">
      <t>ヒョウ</t>
    </rPh>
    <rPh sb="5" eb="6">
      <t>キュウ</t>
    </rPh>
    <rPh sb="6" eb="8">
      <t>セイザイ</t>
    </rPh>
    <rPh sb="9" eb="11">
      <t>ニホン</t>
    </rPh>
    <rPh sb="11" eb="13">
      <t>ノウリン</t>
    </rPh>
    <rPh sb="13" eb="15">
      <t>キカク</t>
    </rPh>
    <rPh sb="16" eb="18">
      <t>ショウワ</t>
    </rPh>
    <rPh sb="20" eb="21">
      <t>ネン</t>
    </rPh>
    <rPh sb="21" eb="23">
      <t>ノウリン</t>
    </rPh>
    <rPh sb="23" eb="26">
      <t>スイサンショウ</t>
    </rPh>
    <rPh sb="26" eb="28">
      <t>コクジ</t>
    </rPh>
    <rPh sb="28" eb="29">
      <t>ダイ</t>
    </rPh>
    <rPh sb="33" eb="34">
      <t>ゴウ</t>
    </rPh>
    <rPh sb="35" eb="37">
      <t>ベッキ</t>
    </rPh>
    <rPh sb="42" eb="44">
      <t>イタルイ</t>
    </rPh>
    <phoneticPr fontId="1"/>
  </si>
  <si>
    <t>無節</t>
    <rPh sb="0" eb="1">
      <t>ム</t>
    </rPh>
    <rPh sb="1" eb="2">
      <t>フシ</t>
    </rPh>
    <phoneticPr fontId="1"/>
  </si>
  <si>
    <t>上小節</t>
    <rPh sb="0" eb="1">
      <t>ウエ</t>
    </rPh>
    <rPh sb="1" eb="2">
      <t>コ</t>
    </rPh>
    <rPh sb="2" eb="3">
      <t>フシ</t>
    </rPh>
    <phoneticPr fontId="1"/>
  </si>
  <si>
    <t>小節</t>
    <rPh sb="0" eb="1">
      <t>コ</t>
    </rPh>
    <rPh sb="1" eb="2">
      <t>フシ</t>
    </rPh>
    <phoneticPr fontId="1"/>
  </si>
  <si>
    <t>ないこと。</t>
    <phoneticPr fontId="1"/>
  </si>
  <si>
    <t>長径が10㎜（抜け節、腐れ節又は抜けやすい節にあっては、5㎜）以下で、材の長さ2m又は2m未満の端数につき3個（幅が24cm以上のものにあっては、4個）以下であること。</t>
    <rPh sb="0" eb="1">
      <t>ナガ</t>
    </rPh>
    <rPh sb="1" eb="2">
      <t>ケイ</t>
    </rPh>
    <rPh sb="7" eb="8">
      <t>ヌ</t>
    </rPh>
    <rPh sb="9" eb="10">
      <t>フシ</t>
    </rPh>
    <rPh sb="11" eb="12">
      <t>クサ</t>
    </rPh>
    <rPh sb="13" eb="14">
      <t>フシ</t>
    </rPh>
    <rPh sb="14" eb="15">
      <t>マタ</t>
    </rPh>
    <rPh sb="16" eb="17">
      <t>ヌ</t>
    </rPh>
    <rPh sb="21" eb="22">
      <t>フシ</t>
    </rPh>
    <rPh sb="31" eb="33">
      <t>イカ</t>
    </rPh>
    <rPh sb="35" eb="36">
      <t>ザイ</t>
    </rPh>
    <rPh sb="37" eb="38">
      <t>ナガ</t>
    </rPh>
    <rPh sb="41" eb="42">
      <t>マタ</t>
    </rPh>
    <rPh sb="45" eb="47">
      <t>ミマン</t>
    </rPh>
    <rPh sb="48" eb="50">
      <t>ハスウ</t>
    </rPh>
    <rPh sb="54" eb="55">
      <t>コ</t>
    </rPh>
    <rPh sb="56" eb="57">
      <t>ハバ</t>
    </rPh>
    <rPh sb="62" eb="64">
      <t>イジョウ</t>
    </rPh>
    <rPh sb="74" eb="75">
      <t>コ</t>
    </rPh>
    <rPh sb="76" eb="78">
      <t>イカ</t>
    </rPh>
    <phoneticPr fontId="1"/>
  </si>
  <si>
    <t>長径が20㎜（抜け節、腐れ節又は抜けやすい節にあっては、10㎜）以下で、材の長さ2m又は2m未満の端数につき6個（幅が24cm以上のものにあっては、8個）以下であること。</t>
    <rPh sb="0" eb="1">
      <t>ナガ</t>
    </rPh>
    <rPh sb="1" eb="2">
      <t>ケイ</t>
    </rPh>
    <rPh sb="7" eb="8">
      <t>ヌ</t>
    </rPh>
    <rPh sb="9" eb="10">
      <t>フシ</t>
    </rPh>
    <rPh sb="11" eb="12">
      <t>クサ</t>
    </rPh>
    <rPh sb="13" eb="14">
      <t>フシ</t>
    </rPh>
    <rPh sb="14" eb="15">
      <t>マタ</t>
    </rPh>
    <rPh sb="16" eb="17">
      <t>ヌ</t>
    </rPh>
    <rPh sb="21" eb="22">
      <t>フシ</t>
    </rPh>
    <rPh sb="32" eb="34">
      <t>イカ</t>
    </rPh>
    <rPh sb="36" eb="37">
      <t>ザイ</t>
    </rPh>
    <rPh sb="38" eb="39">
      <t>ナガ</t>
    </rPh>
    <rPh sb="42" eb="43">
      <t>マタ</t>
    </rPh>
    <rPh sb="46" eb="48">
      <t>ミマン</t>
    </rPh>
    <rPh sb="49" eb="51">
      <t>ハスウ</t>
    </rPh>
    <rPh sb="55" eb="56">
      <t>コ</t>
    </rPh>
    <rPh sb="57" eb="58">
      <t>ハバ</t>
    </rPh>
    <rPh sb="63" eb="65">
      <t>イジョウ</t>
    </rPh>
    <rPh sb="75" eb="76">
      <t>コ</t>
    </rPh>
    <rPh sb="77" eb="79">
      <t>イカ</t>
    </rPh>
    <phoneticPr fontId="1"/>
  </si>
  <si>
    <t>材幅に対して3％以下であること。</t>
    <rPh sb="0" eb="1">
      <t>ザイ</t>
    </rPh>
    <rPh sb="1" eb="2">
      <t>ハバ</t>
    </rPh>
    <rPh sb="3" eb="4">
      <t>タイ</t>
    </rPh>
    <rPh sb="8" eb="10">
      <t>イカ</t>
    </rPh>
    <phoneticPr fontId="1"/>
  </si>
  <si>
    <t>同左</t>
    <rPh sb="0" eb="2">
      <t>ドウサ</t>
    </rPh>
    <phoneticPr fontId="1"/>
  </si>
  <si>
    <t>木口割れ</t>
    <phoneticPr fontId="1"/>
  </si>
  <si>
    <t>3％以下であること。</t>
    <rPh sb="2" eb="4">
      <t>イカ</t>
    </rPh>
    <phoneticPr fontId="1"/>
  </si>
  <si>
    <t>腐れ又は虫あな</t>
    <rPh sb="0" eb="1">
      <t>クサ</t>
    </rPh>
    <rPh sb="2" eb="3">
      <t>マタ</t>
    </rPh>
    <rPh sb="4" eb="5">
      <t>ムシ</t>
    </rPh>
    <phoneticPr fontId="1"/>
  </si>
  <si>
    <t>きわめて軽微であること。</t>
    <rPh sb="4" eb="6">
      <t>ケイビ</t>
    </rPh>
    <phoneticPr fontId="1"/>
  </si>
  <si>
    <t>その他の欠点</t>
    <rPh sb="2" eb="3">
      <t>タ</t>
    </rPh>
    <rPh sb="4" eb="6">
      <t>ケッテン</t>
    </rPh>
    <phoneticPr fontId="1"/>
  </si>
  <si>
    <t>軽微であること。</t>
    <rPh sb="0" eb="2">
      <t>ケイビ</t>
    </rPh>
    <phoneticPr fontId="1"/>
  </si>
  <si>
    <t xml:space="preserve">(注)この基準の判定は、良面について行う。 </t>
    <rPh sb="1" eb="2">
      <t>チュウ</t>
    </rPh>
    <rPh sb="5" eb="7">
      <t>キジュン</t>
    </rPh>
    <rPh sb="8" eb="10">
      <t>ハンテイ</t>
    </rPh>
    <rPh sb="12" eb="13">
      <t>リョウ</t>
    </rPh>
    <rPh sb="13" eb="14">
      <t>メン</t>
    </rPh>
    <rPh sb="18" eb="19">
      <t>オコナ</t>
    </rPh>
    <phoneticPr fontId="1"/>
  </si>
  <si>
    <t>　　このため、太陽光発電設備等及び屋根の床面積当たりの荷重は、部位の面積当たりの荷重を1.3倍(割増率)したものとしてい　　　　
　る。</t>
    <rPh sb="7" eb="10">
      <t>タイヨウコウ</t>
    </rPh>
    <rPh sb="10" eb="12">
      <t>ハツデン</t>
    </rPh>
    <rPh sb="12" eb="14">
      <t>セツビ</t>
    </rPh>
    <rPh sb="14" eb="15">
      <t>トウ</t>
    </rPh>
    <rPh sb="15" eb="16">
      <t>オヨ</t>
    </rPh>
    <rPh sb="17" eb="19">
      <t>ヤネ</t>
    </rPh>
    <rPh sb="20" eb="23">
      <t>ユカメンセキ</t>
    </rPh>
    <rPh sb="23" eb="24">
      <t>ア</t>
    </rPh>
    <rPh sb="27" eb="29">
      <t>カジュウ</t>
    </rPh>
    <rPh sb="31" eb="33">
      <t>ブイ</t>
    </rPh>
    <rPh sb="34" eb="36">
      <t>メンセキ</t>
    </rPh>
    <rPh sb="36" eb="37">
      <t>ア</t>
    </rPh>
    <rPh sb="40" eb="42">
      <t>カジュウ</t>
    </rPh>
    <rPh sb="46" eb="47">
      <t>バイ</t>
    </rPh>
    <rPh sb="48" eb="51">
      <t>ワリマシリツ</t>
    </rPh>
    <phoneticPr fontId="1"/>
  </si>
  <si>
    <r>
      <t>*</t>
    </r>
    <r>
      <rPr>
        <vertAlign val="superscript"/>
        <sz val="11"/>
        <color theme="1"/>
        <rFont val="Yu Gothic"/>
        <family val="3"/>
        <charset val="128"/>
        <scheme val="minor"/>
      </rPr>
      <t>4</t>
    </r>
    <r>
      <rPr>
        <sz val="11"/>
        <color theme="1"/>
        <rFont val="Yu Gothic"/>
        <family val="3"/>
        <charset val="128"/>
        <scheme val="minor"/>
      </rPr>
      <t>：すぎ、無等級材（平成12年建設省告示第1452号第5号）を前提として算定。解説・注意事項は</t>
    </r>
    <rPh sb="6" eb="7">
      <t>ム</t>
    </rPh>
    <rPh sb="7" eb="10">
      <t>トウキュウザイ</t>
    </rPh>
    <rPh sb="11" eb="13">
      <t>ヘイセイ</t>
    </rPh>
    <rPh sb="15" eb="16">
      <t>ネン</t>
    </rPh>
    <rPh sb="16" eb="21">
      <t>ケンセツショウコクジ</t>
    </rPh>
    <rPh sb="21" eb="22">
      <t>ダイ</t>
    </rPh>
    <rPh sb="26" eb="27">
      <t>ゴウ</t>
    </rPh>
    <rPh sb="27" eb="28">
      <t>ダイ</t>
    </rPh>
    <rPh sb="29" eb="30">
      <t>ゴウ</t>
    </rPh>
    <rPh sb="32" eb="34">
      <t>ゼンテイ</t>
    </rPh>
    <rPh sb="37" eb="39">
      <t>サンテイ</t>
    </rPh>
    <rPh sb="40" eb="42">
      <t>カイセツ</t>
    </rPh>
    <rPh sb="43" eb="47">
      <t>チュウイジコウ</t>
    </rPh>
    <phoneticPr fontId="1"/>
  </si>
  <si>
    <t>表計算ツールの解説・注意事項の表1－1「建築物の高さｈ（m）」の解説に「本表計算ツールでは屋根部分の高さ（最高高さ―軒高）/２を0.9ｍとしている。」を追記しました。</t>
    <rPh sb="0" eb="3">
      <t>ヒョウケイサン</t>
    </rPh>
    <rPh sb="7" eb="9">
      <t>カイセツ</t>
    </rPh>
    <rPh sb="10" eb="12">
      <t>チュウイ</t>
    </rPh>
    <rPh sb="12" eb="14">
      <t>ジコウ</t>
    </rPh>
    <rPh sb="15" eb="16">
      <t>ヒョウ</t>
    </rPh>
    <rPh sb="32" eb="34">
      <t>カイセツ</t>
    </rPh>
    <rPh sb="76" eb="78">
      <t>ツイキ</t>
    </rPh>
    <phoneticPr fontId="1"/>
  </si>
  <si>
    <r>
      <t>・表計算ツールの解説・注意事項の表２－４にW</t>
    </r>
    <r>
      <rPr>
        <vertAlign val="subscript"/>
        <sz val="11"/>
        <color theme="1"/>
        <rFont val="Yu Gothic"/>
        <family val="3"/>
        <charset val="128"/>
        <scheme val="minor"/>
      </rPr>
      <t>0</t>
    </r>
    <r>
      <rPr>
        <sz val="11"/>
        <color theme="1"/>
        <rFont val="Yu Gothic"/>
        <family val="2"/>
        <scheme val="minor"/>
      </rPr>
      <t>の定義を追加しました。</t>
    </r>
    <rPh sb="1" eb="4">
      <t>ヒョウケイサン</t>
    </rPh>
    <rPh sb="8" eb="10">
      <t>カイセツ</t>
    </rPh>
    <rPh sb="11" eb="13">
      <t>チュウイ</t>
    </rPh>
    <rPh sb="13" eb="15">
      <t>ジコウ</t>
    </rPh>
    <rPh sb="16" eb="17">
      <t>ヒョウ</t>
    </rPh>
    <rPh sb="24" eb="26">
      <t>テイギ</t>
    </rPh>
    <rPh sb="27" eb="29">
      <t>ツイカ</t>
    </rPh>
    <phoneticPr fontId="1"/>
  </si>
  <si>
    <t>・表計算ツールの解説・注意事項の「無等級材の要求性能」に別記(3)に関する注釈と、表2-6を追加しました。</t>
    <rPh sb="1" eb="4">
      <t>ヒョウケイサン</t>
    </rPh>
    <rPh sb="8" eb="10">
      <t>カイセツ</t>
    </rPh>
    <rPh sb="11" eb="13">
      <t>チュウイ</t>
    </rPh>
    <rPh sb="13" eb="15">
      <t>ジコウ</t>
    </rPh>
    <phoneticPr fontId="1"/>
  </si>
  <si>
    <t>国土交通大臣が基準強度の数値を指定した木材等</t>
    <rPh sb="0" eb="2">
      <t>コクド</t>
    </rPh>
    <rPh sb="2" eb="4">
      <t>コウツウ</t>
    </rPh>
    <rPh sb="4" eb="6">
      <t>ダイジン</t>
    </rPh>
    <rPh sb="7" eb="9">
      <t>キジュン</t>
    </rPh>
    <rPh sb="9" eb="11">
      <t>キョウド</t>
    </rPh>
    <rPh sb="12" eb="14">
      <t>スウチ</t>
    </rPh>
    <rPh sb="15" eb="17">
      <t>シテイ</t>
    </rPh>
    <rPh sb="19" eb="21">
      <t>モクザイ</t>
    </rPh>
    <rPh sb="21" eb="22">
      <t>トウ</t>
    </rPh>
    <phoneticPr fontId="1"/>
  </si>
  <si>
    <r>
      <t>d</t>
    </r>
    <r>
      <rPr>
        <b/>
        <vertAlign val="subscript"/>
        <sz val="10"/>
        <color theme="1"/>
        <rFont val="Yu Gothic"/>
        <family val="3"/>
        <charset val="128"/>
        <scheme val="minor"/>
      </rPr>
      <t>e</t>
    </r>
    <r>
      <rPr>
        <b/>
        <sz val="10"/>
        <color theme="1"/>
        <rFont val="Yu Gothic"/>
        <family val="3"/>
        <charset val="128"/>
        <scheme val="minor"/>
      </rPr>
      <t>/</t>
    </r>
    <r>
      <rPr>
        <b/>
        <i/>
        <sz val="10"/>
        <color theme="1"/>
        <rFont val="Yu Gothic"/>
        <family val="3"/>
        <charset val="128"/>
        <scheme val="minor"/>
      </rPr>
      <t>l　</t>
    </r>
    <r>
      <rPr>
        <b/>
        <sz val="10"/>
        <color theme="1"/>
        <rFont val="Yu Gothic"/>
        <family val="3"/>
        <charset val="128"/>
        <scheme val="minor"/>
      </rPr>
      <t>*</t>
    </r>
    <r>
      <rPr>
        <b/>
        <vertAlign val="superscript"/>
        <sz val="10"/>
        <color theme="1"/>
        <rFont val="Yu Gothic"/>
        <family val="3"/>
        <charset val="128"/>
        <scheme val="minor"/>
      </rPr>
      <t>3</t>
    </r>
    <phoneticPr fontId="1"/>
  </si>
  <si>
    <r>
      <t>柱の小径</t>
    </r>
    <r>
      <rPr>
        <b/>
        <i/>
        <sz val="9"/>
        <color theme="1"/>
        <rFont val="Yu Gothic"/>
        <family val="3"/>
        <charset val="128"/>
        <scheme val="minor"/>
      </rPr>
      <t>d</t>
    </r>
    <r>
      <rPr>
        <b/>
        <vertAlign val="subscript"/>
        <sz val="9"/>
        <color theme="1"/>
        <rFont val="Yu Gothic"/>
        <family val="3"/>
        <charset val="128"/>
        <scheme val="minor"/>
      </rPr>
      <t>e</t>
    </r>
    <r>
      <rPr>
        <b/>
        <sz val="9"/>
        <color theme="1"/>
        <rFont val="Yu Gothic"/>
        <family val="3"/>
        <charset val="128"/>
        <scheme val="minor"/>
      </rPr>
      <t>*</t>
    </r>
    <r>
      <rPr>
        <b/>
        <vertAlign val="superscript"/>
        <sz val="9"/>
        <color theme="1"/>
        <rFont val="Yu Gothic"/>
        <family val="3"/>
        <charset val="128"/>
        <scheme val="minor"/>
      </rPr>
      <t>4</t>
    </r>
    <r>
      <rPr>
        <b/>
        <sz val="9"/>
        <color theme="1"/>
        <rFont val="Yu Gothic"/>
        <family val="3"/>
        <charset val="128"/>
        <scheme val="minor"/>
      </rPr>
      <t xml:space="preserve">
(㎜以上)</t>
    </r>
    <rPh sb="0" eb="1">
      <t>ハシラ</t>
    </rPh>
    <rPh sb="2" eb="4">
      <t>ショウケイ</t>
    </rPh>
    <rPh sb="11" eb="13">
      <t>イジョウ</t>
    </rPh>
    <phoneticPr fontId="1"/>
  </si>
  <si>
    <r>
      <t>*</t>
    </r>
    <r>
      <rPr>
        <vertAlign val="superscript"/>
        <sz val="11"/>
        <color theme="1"/>
        <rFont val="Yu Gothic"/>
        <family val="3"/>
        <charset val="128"/>
        <scheme val="minor"/>
      </rPr>
      <t>3</t>
    </r>
    <r>
      <rPr>
        <sz val="11"/>
        <color theme="1"/>
        <rFont val="Yu Gothic"/>
        <family val="3"/>
        <charset val="128"/>
        <scheme val="minor"/>
      </rPr>
      <t>：柱の必要小径</t>
    </r>
    <r>
      <rPr>
        <i/>
        <sz val="11"/>
        <color theme="1"/>
        <rFont val="Yu Gothic"/>
        <family val="3"/>
        <charset val="128"/>
        <scheme val="minor"/>
      </rPr>
      <t>d</t>
    </r>
    <r>
      <rPr>
        <vertAlign val="subscript"/>
        <sz val="11"/>
        <color theme="1"/>
        <rFont val="Yu Gothic"/>
        <family val="3"/>
        <charset val="128"/>
        <scheme val="minor"/>
      </rPr>
      <t>e</t>
    </r>
    <r>
      <rPr>
        <sz val="11"/>
        <color theme="1"/>
        <rFont val="Yu Gothic"/>
        <family val="3"/>
        <charset val="128"/>
        <scheme val="minor"/>
      </rPr>
      <t>／横架材間距離</t>
    </r>
    <r>
      <rPr>
        <i/>
        <sz val="11"/>
        <color theme="1"/>
        <rFont val="Yu Gothic"/>
        <family val="3"/>
        <charset val="128"/>
        <scheme val="minor"/>
      </rPr>
      <t>l</t>
    </r>
    <rPh sb="3" eb="4">
      <t>ハシラ</t>
    </rPh>
    <rPh sb="5" eb="7">
      <t>ヒツヨウ</t>
    </rPh>
    <rPh sb="7" eb="9">
      <t>ショウケイ</t>
    </rPh>
    <rPh sb="12" eb="15">
      <t>オウカザイ</t>
    </rPh>
    <rPh sb="15" eb="16">
      <t>アイダ</t>
    </rPh>
    <rPh sb="16" eb="18">
      <t>キョリ</t>
    </rPh>
    <phoneticPr fontId="1"/>
  </si>
  <si>
    <r>
      <t>de</t>
    </r>
    <r>
      <rPr>
        <b/>
        <sz val="10"/>
        <color theme="1"/>
        <rFont val="Yu Gothic"/>
        <family val="3"/>
        <charset val="128"/>
        <scheme val="minor"/>
      </rPr>
      <t>/</t>
    </r>
    <r>
      <rPr>
        <b/>
        <i/>
        <sz val="10"/>
        <color theme="1"/>
        <rFont val="Yu Gothic"/>
        <family val="3"/>
        <charset val="128"/>
        <scheme val="minor"/>
      </rPr>
      <t>l　</t>
    </r>
    <r>
      <rPr>
        <b/>
        <sz val="10"/>
        <color theme="1"/>
        <rFont val="Yu Gothic"/>
        <family val="3"/>
        <charset val="128"/>
        <scheme val="minor"/>
      </rPr>
      <t>*</t>
    </r>
    <r>
      <rPr>
        <b/>
        <vertAlign val="superscript"/>
        <sz val="10"/>
        <color theme="1"/>
        <rFont val="Yu Gothic"/>
        <family val="3"/>
        <charset val="128"/>
        <scheme val="minor"/>
      </rPr>
      <t>3</t>
    </r>
    <phoneticPr fontId="1"/>
  </si>
  <si>
    <r>
      <t>柱の小径</t>
    </r>
    <r>
      <rPr>
        <b/>
        <i/>
        <sz val="9"/>
        <color theme="1"/>
        <rFont val="Yu Gothic"/>
        <family val="3"/>
        <charset val="128"/>
        <scheme val="minor"/>
      </rPr>
      <t>d</t>
    </r>
    <r>
      <rPr>
        <b/>
        <vertAlign val="subscript"/>
        <sz val="9"/>
        <color theme="1"/>
        <rFont val="Yu Gothic"/>
        <family val="3"/>
        <charset val="128"/>
        <scheme val="minor"/>
      </rPr>
      <t>e</t>
    </r>
    <r>
      <rPr>
        <b/>
        <sz val="9"/>
        <color theme="1"/>
        <rFont val="Yu Gothic"/>
        <family val="3"/>
        <charset val="128"/>
        <scheme val="minor"/>
      </rPr>
      <t>　*</t>
    </r>
    <r>
      <rPr>
        <b/>
        <vertAlign val="superscript"/>
        <sz val="9"/>
        <color theme="1"/>
        <rFont val="Yu Gothic"/>
        <family val="3"/>
        <charset val="128"/>
        <scheme val="minor"/>
      </rPr>
      <t>4</t>
    </r>
    <r>
      <rPr>
        <b/>
        <sz val="9"/>
        <color theme="1"/>
        <rFont val="Yu Gothic"/>
        <family val="3"/>
        <charset val="128"/>
        <scheme val="minor"/>
      </rPr>
      <t xml:space="preserve">
(㎜以上)</t>
    </r>
    <rPh sb="0" eb="1">
      <t>ハシラ</t>
    </rPh>
    <rPh sb="2" eb="4">
      <t>ショウケイ</t>
    </rPh>
    <rPh sb="12" eb="14">
      <t>イジョウ</t>
    </rPh>
    <phoneticPr fontId="1"/>
  </si>
  <si>
    <r>
      <t>d</t>
    </r>
    <r>
      <rPr>
        <b/>
        <i/>
        <vertAlign val="subscript"/>
        <sz val="10"/>
        <color theme="1"/>
        <rFont val="Yu Gothic"/>
        <family val="3"/>
        <charset val="128"/>
        <scheme val="minor"/>
      </rPr>
      <t>e</t>
    </r>
    <r>
      <rPr>
        <b/>
        <i/>
        <sz val="10"/>
        <color theme="1"/>
        <rFont val="Yu Gothic"/>
        <family val="3"/>
        <charset val="128"/>
        <scheme val="minor"/>
      </rPr>
      <t>/l　</t>
    </r>
    <r>
      <rPr>
        <b/>
        <sz val="10"/>
        <color theme="1"/>
        <rFont val="Yu Gothic"/>
        <family val="3"/>
        <charset val="128"/>
        <scheme val="minor"/>
      </rPr>
      <t>*</t>
    </r>
    <r>
      <rPr>
        <b/>
        <vertAlign val="superscript"/>
        <sz val="10"/>
        <color theme="1"/>
        <rFont val="Yu Gothic"/>
        <family val="3"/>
        <charset val="128"/>
        <scheme val="minor"/>
      </rPr>
      <t>3</t>
    </r>
    <phoneticPr fontId="1"/>
  </si>
  <si>
    <r>
      <t>*</t>
    </r>
    <r>
      <rPr>
        <vertAlign val="superscript"/>
        <sz val="11"/>
        <color theme="1"/>
        <rFont val="Yu Gothic"/>
        <family val="3"/>
        <charset val="128"/>
        <scheme val="minor"/>
      </rPr>
      <t>3</t>
    </r>
    <r>
      <rPr>
        <sz val="11"/>
        <color theme="1"/>
        <rFont val="Yu Gothic"/>
        <family val="3"/>
        <charset val="128"/>
        <scheme val="minor"/>
      </rPr>
      <t>：柱の必要小径</t>
    </r>
    <r>
      <rPr>
        <i/>
        <sz val="11"/>
        <color theme="1"/>
        <rFont val="Yu Gothic"/>
        <family val="3"/>
        <charset val="128"/>
        <scheme val="minor"/>
      </rPr>
      <t>d</t>
    </r>
    <r>
      <rPr>
        <i/>
        <vertAlign val="subscript"/>
        <sz val="11"/>
        <color theme="1"/>
        <rFont val="Yu Gothic"/>
        <family val="3"/>
        <charset val="128"/>
        <scheme val="minor"/>
      </rPr>
      <t>e</t>
    </r>
    <r>
      <rPr>
        <sz val="11"/>
        <color theme="1"/>
        <rFont val="Yu Gothic"/>
        <family val="3"/>
        <charset val="128"/>
        <scheme val="minor"/>
      </rPr>
      <t>／横架材間距離</t>
    </r>
    <r>
      <rPr>
        <i/>
        <sz val="11"/>
        <color theme="1"/>
        <rFont val="Yu Gothic"/>
        <family val="3"/>
        <charset val="128"/>
        <scheme val="minor"/>
      </rPr>
      <t>l</t>
    </r>
    <rPh sb="3" eb="4">
      <t>ハシラ</t>
    </rPh>
    <rPh sb="5" eb="7">
      <t>ヒツヨウ</t>
    </rPh>
    <rPh sb="7" eb="9">
      <t>ショウケイ</t>
    </rPh>
    <rPh sb="12" eb="15">
      <t>オウカザイ</t>
    </rPh>
    <rPh sb="15" eb="16">
      <t>アイダ</t>
    </rPh>
    <rPh sb="16" eb="18">
      <t>キョリ</t>
    </rPh>
    <phoneticPr fontId="1"/>
  </si>
  <si>
    <r>
      <rPr>
        <i/>
        <sz val="11"/>
        <color theme="1"/>
        <rFont val="Yu Gothic"/>
        <family val="3"/>
        <charset val="128"/>
        <scheme val="minor"/>
      </rPr>
      <t>G</t>
    </r>
    <r>
      <rPr>
        <vertAlign val="subscript"/>
        <sz val="11"/>
        <color theme="1"/>
        <rFont val="Yu Gothic"/>
        <family val="3"/>
        <charset val="128"/>
        <scheme val="minor"/>
      </rPr>
      <t>r</t>
    </r>
    <phoneticPr fontId="1"/>
  </si>
  <si>
    <r>
      <rPr>
        <i/>
        <sz val="11"/>
        <color theme="1"/>
        <rFont val="Yu Gothic"/>
        <family val="3"/>
        <charset val="128"/>
        <scheme val="minor"/>
      </rPr>
      <t>G</t>
    </r>
    <r>
      <rPr>
        <vertAlign val="subscript"/>
        <sz val="11"/>
        <color theme="1"/>
        <rFont val="Yu Gothic"/>
        <family val="3"/>
        <charset val="128"/>
        <scheme val="minor"/>
      </rPr>
      <t>ow2</t>
    </r>
    <phoneticPr fontId="1"/>
  </si>
  <si>
    <r>
      <rPr>
        <i/>
        <sz val="11"/>
        <color theme="1"/>
        <rFont val="Yu Gothic"/>
        <family val="3"/>
        <charset val="128"/>
        <scheme val="minor"/>
      </rPr>
      <t>G</t>
    </r>
    <r>
      <rPr>
        <vertAlign val="subscript"/>
        <sz val="11"/>
        <color theme="1"/>
        <rFont val="Yu Gothic"/>
        <family val="3"/>
        <charset val="128"/>
        <scheme val="minor"/>
      </rPr>
      <t>iw2</t>
    </r>
    <phoneticPr fontId="1"/>
  </si>
  <si>
    <r>
      <rPr>
        <i/>
        <sz val="11"/>
        <color theme="1"/>
        <rFont val="Yu Gothic"/>
        <family val="3"/>
        <charset val="128"/>
        <scheme val="minor"/>
      </rPr>
      <t>G</t>
    </r>
    <r>
      <rPr>
        <vertAlign val="subscript"/>
        <sz val="11"/>
        <color theme="1"/>
        <rFont val="Yu Gothic"/>
        <family val="3"/>
        <charset val="128"/>
        <scheme val="minor"/>
      </rPr>
      <t>ow1</t>
    </r>
    <phoneticPr fontId="1"/>
  </si>
  <si>
    <r>
      <rPr>
        <i/>
        <sz val="11"/>
        <color theme="1"/>
        <rFont val="Yu Gothic"/>
        <family val="3"/>
        <charset val="128"/>
        <scheme val="minor"/>
      </rPr>
      <t>G</t>
    </r>
    <r>
      <rPr>
        <vertAlign val="subscript"/>
        <sz val="11"/>
        <color theme="1"/>
        <rFont val="Yu Gothic"/>
        <family val="3"/>
        <charset val="128"/>
        <scheme val="minor"/>
      </rPr>
      <t>iw1</t>
    </r>
    <phoneticPr fontId="1"/>
  </si>
  <si>
    <r>
      <rPr>
        <i/>
        <sz val="11"/>
        <color theme="1"/>
        <rFont val="Yu Gothic"/>
        <family val="3"/>
        <charset val="128"/>
        <scheme val="minor"/>
      </rPr>
      <t>G</t>
    </r>
    <r>
      <rPr>
        <vertAlign val="subscript"/>
        <sz val="11"/>
        <color theme="1"/>
        <rFont val="Yu Gothic"/>
        <family val="3"/>
        <charset val="128"/>
        <scheme val="minor"/>
      </rPr>
      <t>f</t>
    </r>
    <phoneticPr fontId="1"/>
  </si>
  <si>
    <r>
      <t>　本表計算ツールは、建築基準法施行令（以下「令」という、）第46条第4項における階の床面積に乗ずる数値及び令第43条第1項、第6項における柱の小径等の計算方法である。当該表計算ツールは在来軸組工法における一般的な住宅を想定しているが、下記の算出根拠から外れるものは設計者判断等により、必要に応じて根拠を示した上で、適宜調整</t>
    </r>
    <r>
      <rPr>
        <vertAlign val="superscript"/>
        <sz val="11"/>
        <color theme="1"/>
        <rFont val="Yu Gothic"/>
        <family val="3"/>
        <charset val="128"/>
        <scheme val="minor"/>
      </rPr>
      <t>※</t>
    </r>
    <r>
      <rPr>
        <sz val="11"/>
        <color theme="1"/>
        <rFont val="Yu Gothic"/>
        <family val="3"/>
        <charset val="128"/>
        <scheme val="minor"/>
      </rPr>
      <t xml:space="preserve">を行うこととする。また、設計者判断等により想定する固定荷重や建築物高さ等のパラメータを実態に応じて個別に計算する場合には、必ずしも当該表計算ツールの算定方法や算出根拠に準じなくても良い。
</t>
    </r>
    <rPh sb="1" eb="2">
      <t>ホン</t>
    </rPh>
    <rPh sb="2" eb="5">
      <t>ヒョウケイサン</t>
    </rPh>
    <rPh sb="10" eb="15">
      <t>ケンチクキジュンホウ</t>
    </rPh>
    <rPh sb="15" eb="18">
      <t>セコウレイ</t>
    </rPh>
    <rPh sb="19" eb="21">
      <t>イカ</t>
    </rPh>
    <rPh sb="22" eb="23">
      <t>レイ</t>
    </rPh>
    <rPh sb="29" eb="30">
      <t>ダイ</t>
    </rPh>
    <rPh sb="32" eb="33">
      <t>ジョウ</t>
    </rPh>
    <rPh sb="33" eb="34">
      <t>ダイ</t>
    </rPh>
    <rPh sb="35" eb="36">
      <t>コウ</t>
    </rPh>
    <rPh sb="40" eb="41">
      <t>カイ</t>
    </rPh>
    <rPh sb="42" eb="45">
      <t>ユカメンセキ</t>
    </rPh>
    <rPh sb="46" eb="47">
      <t>ジョウ</t>
    </rPh>
    <rPh sb="49" eb="51">
      <t>スウチ</t>
    </rPh>
    <rPh sb="51" eb="52">
      <t>オヨ</t>
    </rPh>
    <rPh sb="54" eb="55">
      <t>ダイ</t>
    </rPh>
    <rPh sb="57" eb="58">
      <t>ジョウ</t>
    </rPh>
    <rPh sb="58" eb="59">
      <t>ダイ</t>
    </rPh>
    <rPh sb="60" eb="61">
      <t>コウ</t>
    </rPh>
    <rPh sb="62" eb="63">
      <t>ダイ</t>
    </rPh>
    <rPh sb="64" eb="65">
      <t>コウ</t>
    </rPh>
    <rPh sb="75" eb="79">
      <t>ケイサンホウホウ</t>
    </rPh>
    <rPh sb="83" eb="85">
      <t>トウガイ</t>
    </rPh>
    <rPh sb="92" eb="96">
      <t>ザイライジクグミ</t>
    </rPh>
    <rPh sb="96" eb="98">
      <t>コウホウ</t>
    </rPh>
    <rPh sb="102" eb="105">
      <t>イッパンテキ</t>
    </rPh>
    <rPh sb="106" eb="108">
      <t>ジュウタク</t>
    </rPh>
    <rPh sb="109" eb="111">
      <t>ソウテイ</t>
    </rPh>
    <rPh sb="117" eb="119">
      <t>カキ</t>
    </rPh>
    <rPh sb="120" eb="124">
      <t>サンシュツコンキョ</t>
    </rPh>
    <rPh sb="126" eb="127">
      <t>ハズ</t>
    </rPh>
    <rPh sb="132" eb="137">
      <t>セッケイシャハンダン</t>
    </rPh>
    <rPh sb="137" eb="138">
      <t>トウ</t>
    </rPh>
    <rPh sb="142" eb="144">
      <t>ヒツヨウ</t>
    </rPh>
    <rPh sb="145" eb="146">
      <t>オウ</t>
    </rPh>
    <rPh sb="148" eb="150">
      <t>コンキョ</t>
    </rPh>
    <rPh sb="151" eb="152">
      <t>シメ</t>
    </rPh>
    <rPh sb="154" eb="155">
      <t>ウエ</t>
    </rPh>
    <rPh sb="157" eb="159">
      <t>テキギ</t>
    </rPh>
    <rPh sb="159" eb="161">
      <t>チョウセイ</t>
    </rPh>
    <rPh sb="163" eb="164">
      <t>オコナ</t>
    </rPh>
    <rPh sb="174" eb="177">
      <t>セッケイシャ</t>
    </rPh>
    <rPh sb="177" eb="179">
      <t>ハンダン</t>
    </rPh>
    <rPh sb="179" eb="180">
      <t>トウ</t>
    </rPh>
    <rPh sb="183" eb="185">
      <t>ソウテイ</t>
    </rPh>
    <rPh sb="187" eb="191">
      <t>コテイカジュウ</t>
    </rPh>
    <rPh sb="195" eb="196">
      <t>タカ</t>
    </rPh>
    <rPh sb="197" eb="198">
      <t>トウ</t>
    </rPh>
    <rPh sb="205" eb="207">
      <t>ジッタイ</t>
    </rPh>
    <rPh sb="208" eb="209">
      <t>オウ</t>
    </rPh>
    <rPh sb="211" eb="213">
      <t>コベツ</t>
    </rPh>
    <rPh sb="214" eb="216">
      <t>ケイサン</t>
    </rPh>
    <rPh sb="218" eb="220">
      <t>バアイ</t>
    </rPh>
    <rPh sb="223" eb="224">
      <t>カナラ</t>
    </rPh>
    <rPh sb="227" eb="229">
      <t>トウガイ</t>
    </rPh>
    <rPh sb="236" eb="240">
      <t>サンテイホウホウ</t>
    </rPh>
    <rPh sb="241" eb="245">
      <t>サンシュツコンキョ</t>
    </rPh>
    <rPh sb="246" eb="247">
      <t>ジュン</t>
    </rPh>
    <rPh sb="252" eb="253">
      <t>ヨ</t>
    </rPh>
    <phoneticPr fontId="1"/>
  </si>
  <si>
    <r>
      <t>当該階の床面積に乗ずる数値（ｃｍ/m</t>
    </r>
    <r>
      <rPr>
        <vertAlign val="superscript"/>
        <sz val="11"/>
        <color theme="1"/>
        <rFont val="Yu Gothic"/>
        <family val="3"/>
        <charset val="128"/>
        <scheme val="minor"/>
      </rPr>
      <t>2</t>
    </r>
    <r>
      <rPr>
        <sz val="11"/>
        <color theme="1"/>
        <rFont val="Yu Gothic"/>
        <family val="3"/>
        <charset val="128"/>
        <scheme val="minor"/>
      </rPr>
      <t>）＝（</t>
    </r>
    <r>
      <rPr>
        <i/>
        <sz val="11"/>
        <color theme="1"/>
        <rFont val="Yu Gothic"/>
        <family val="3"/>
        <charset val="128"/>
        <scheme val="minor"/>
      </rPr>
      <t>A</t>
    </r>
    <r>
      <rPr>
        <vertAlign val="subscript"/>
        <sz val="11"/>
        <color theme="1"/>
        <rFont val="Yu Gothic"/>
        <family val="3"/>
        <charset val="128"/>
        <scheme val="minor"/>
      </rPr>
      <t>i</t>
    </r>
    <r>
      <rPr>
        <sz val="11"/>
        <color theme="1"/>
        <rFont val="Yu Gothic"/>
        <family val="3"/>
        <charset val="128"/>
        <scheme val="minor"/>
      </rPr>
      <t>・</t>
    </r>
    <r>
      <rPr>
        <i/>
        <sz val="11"/>
        <color theme="1"/>
        <rFont val="Yu Gothic"/>
        <family val="3"/>
        <charset val="128"/>
        <scheme val="minor"/>
      </rPr>
      <t>C</t>
    </r>
    <r>
      <rPr>
        <vertAlign val="subscript"/>
        <sz val="11"/>
        <color theme="1"/>
        <rFont val="Yu Gothic"/>
        <family val="3"/>
        <charset val="128"/>
        <scheme val="minor"/>
      </rPr>
      <t>0</t>
    </r>
    <r>
      <rPr>
        <sz val="11"/>
        <color theme="1"/>
        <rFont val="Yu Gothic"/>
        <family val="3"/>
        <charset val="128"/>
        <scheme val="minor"/>
      </rPr>
      <t>・Σ</t>
    </r>
    <r>
      <rPr>
        <i/>
        <sz val="11"/>
        <color theme="1"/>
        <rFont val="Yu Gothic"/>
        <family val="3"/>
        <charset val="128"/>
        <scheme val="minor"/>
      </rPr>
      <t>w</t>
    </r>
    <r>
      <rPr>
        <vertAlign val="subscript"/>
        <sz val="11"/>
        <color theme="1"/>
        <rFont val="Yu Gothic"/>
        <family val="3"/>
        <charset val="128"/>
        <scheme val="minor"/>
      </rPr>
      <t>i</t>
    </r>
    <r>
      <rPr>
        <sz val="11"/>
        <color theme="1"/>
        <rFont val="Yu Gothic"/>
        <family val="3"/>
        <charset val="128"/>
        <scheme val="minor"/>
      </rPr>
      <t>）/（0.0196・</t>
    </r>
    <r>
      <rPr>
        <i/>
        <sz val="11"/>
        <color theme="1"/>
        <rFont val="Yu Gothic"/>
        <family val="3"/>
        <charset val="128"/>
        <scheme val="minor"/>
      </rPr>
      <t>A</t>
    </r>
    <r>
      <rPr>
        <vertAlign val="subscript"/>
        <sz val="11"/>
        <color theme="1"/>
        <rFont val="Yu Gothic"/>
        <family val="3"/>
        <charset val="128"/>
        <scheme val="minor"/>
      </rPr>
      <t>fi</t>
    </r>
    <r>
      <rPr>
        <sz val="11"/>
        <color theme="1"/>
        <rFont val="Yu Gothic"/>
        <family val="3"/>
        <charset val="128"/>
        <scheme val="minor"/>
      </rPr>
      <t>）</t>
    </r>
    <rPh sb="0" eb="3">
      <t>トウガイカイ</t>
    </rPh>
    <rPh sb="4" eb="7">
      <t>ユカメンセキ</t>
    </rPh>
    <rPh sb="8" eb="9">
      <t>ジョウ</t>
    </rPh>
    <rPh sb="11" eb="13">
      <t>スウチ</t>
    </rPh>
    <rPh sb="12" eb="13">
      <t>アタイ</t>
    </rPh>
    <phoneticPr fontId="1"/>
  </si>
  <si>
    <r>
      <rPr>
        <i/>
        <sz val="11"/>
        <color theme="1"/>
        <rFont val="Yu Gothic"/>
        <family val="3"/>
        <charset val="128"/>
        <scheme val="minor"/>
      </rPr>
      <t>A</t>
    </r>
    <r>
      <rPr>
        <vertAlign val="subscript"/>
        <sz val="11"/>
        <color theme="1"/>
        <rFont val="Yu Gothic"/>
        <family val="3"/>
        <charset val="128"/>
        <scheme val="minor"/>
      </rPr>
      <t>i</t>
    </r>
    <r>
      <rPr>
        <sz val="11"/>
        <color theme="1"/>
        <rFont val="Yu Gothic"/>
        <family val="2"/>
        <scheme val="minor"/>
      </rPr>
      <t>＝1+｛（1/√</t>
    </r>
    <r>
      <rPr>
        <i/>
        <sz val="11"/>
        <color theme="1"/>
        <rFont val="Yu Gothic"/>
        <family val="3"/>
        <charset val="128"/>
        <scheme val="minor"/>
      </rPr>
      <t>α</t>
    </r>
    <r>
      <rPr>
        <vertAlign val="subscript"/>
        <sz val="11"/>
        <color theme="1"/>
        <rFont val="Yu Gothic"/>
        <family val="3"/>
        <charset val="128"/>
        <scheme val="minor"/>
      </rPr>
      <t>i</t>
    </r>
    <r>
      <rPr>
        <sz val="11"/>
        <color theme="1"/>
        <rFont val="Yu Gothic"/>
        <family val="2"/>
        <scheme val="minor"/>
      </rPr>
      <t>）－</t>
    </r>
    <r>
      <rPr>
        <i/>
        <sz val="11"/>
        <color theme="1"/>
        <rFont val="Yu Gothic"/>
        <family val="3"/>
        <charset val="128"/>
        <scheme val="minor"/>
      </rPr>
      <t>α</t>
    </r>
    <r>
      <rPr>
        <vertAlign val="subscript"/>
        <sz val="11"/>
        <color theme="1"/>
        <rFont val="Yu Gothic"/>
        <family val="3"/>
        <charset val="128"/>
        <scheme val="minor"/>
      </rPr>
      <t>i</t>
    </r>
    <r>
      <rPr>
        <sz val="11"/>
        <color theme="1"/>
        <rFont val="Yu Gothic"/>
        <family val="2"/>
        <scheme val="minor"/>
      </rPr>
      <t>｝×2</t>
    </r>
    <r>
      <rPr>
        <i/>
        <sz val="11"/>
        <color theme="1"/>
        <rFont val="Yu Gothic"/>
        <family val="3"/>
        <charset val="128"/>
        <scheme val="minor"/>
      </rPr>
      <t>T</t>
    </r>
    <r>
      <rPr>
        <sz val="11"/>
        <color theme="1"/>
        <rFont val="Yu Gothic"/>
        <family val="2"/>
        <scheme val="minor"/>
      </rPr>
      <t>/（1+３</t>
    </r>
    <r>
      <rPr>
        <i/>
        <sz val="11"/>
        <color theme="1"/>
        <rFont val="Yu Gothic"/>
        <family val="3"/>
        <charset val="128"/>
        <scheme val="minor"/>
      </rPr>
      <t>T</t>
    </r>
    <r>
      <rPr>
        <sz val="11"/>
        <color theme="1"/>
        <rFont val="Yu Gothic"/>
        <family val="2"/>
        <scheme val="minor"/>
      </rPr>
      <t>）</t>
    </r>
    <phoneticPr fontId="1"/>
  </si>
  <si>
    <r>
      <t>建築物の</t>
    </r>
    <r>
      <rPr>
        <i/>
        <sz val="11"/>
        <color theme="1"/>
        <rFont val="Yu Gothic"/>
        <family val="3"/>
        <charset val="128"/>
        <scheme val="minor"/>
      </rPr>
      <t>A</t>
    </r>
    <r>
      <rPr>
        <vertAlign val="subscript"/>
        <sz val="11"/>
        <color theme="1"/>
        <rFont val="Yu Gothic"/>
        <family val="3"/>
        <charset val="128"/>
        <scheme val="minor"/>
      </rPr>
      <t>i</t>
    </r>
    <r>
      <rPr>
        <sz val="11"/>
        <color theme="1"/>
        <rFont val="Yu Gothic"/>
        <family val="2"/>
        <scheme val="minor"/>
      </rPr>
      <t>を算出しようとする高さの部分が支える部分の固定荷重と積載荷重との和を当該建築物の地上部分の固定荷重と積載荷重との和で除した数値</t>
    </r>
    <phoneticPr fontId="1"/>
  </si>
  <si>
    <r>
      <t>固有周期</t>
    </r>
    <r>
      <rPr>
        <i/>
        <sz val="11"/>
        <color theme="1"/>
        <rFont val="Yu Gothic"/>
        <family val="3"/>
        <charset val="128"/>
        <scheme val="minor"/>
      </rPr>
      <t>T</t>
    </r>
    <r>
      <rPr>
        <sz val="11"/>
        <color theme="1"/>
        <rFont val="Yu Gothic"/>
        <family val="2"/>
        <scheme val="minor"/>
      </rPr>
      <t>（秒）</t>
    </r>
    <phoneticPr fontId="1"/>
  </si>
  <si>
    <r>
      <t>0.03</t>
    </r>
    <r>
      <rPr>
        <i/>
        <sz val="11"/>
        <color theme="1"/>
        <rFont val="Yu Gothic"/>
        <family val="3"/>
        <charset val="128"/>
        <scheme val="minor"/>
      </rPr>
      <t>ｈ</t>
    </r>
    <r>
      <rPr>
        <sz val="11"/>
        <color theme="1"/>
        <rFont val="Yu Gothic"/>
        <family val="2"/>
        <scheme val="minor"/>
      </rPr>
      <t>（秒）としている。</t>
    </r>
    <phoneticPr fontId="1"/>
  </si>
  <si>
    <r>
      <t>建築物の高さ</t>
    </r>
    <r>
      <rPr>
        <i/>
        <sz val="11"/>
        <color theme="1"/>
        <rFont val="Yu Gothic"/>
        <family val="3"/>
        <charset val="128"/>
        <scheme val="minor"/>
      </rPr>
      <t>ｈ</t>
    </r>
    <r>
      <rPr>
        <sz val="11"/>
        <color theme="1"/>
        <rFont val="Yu Gothic"/>
        <family val="2"/>
        <scheme val="minor"/>
      </rPr>
      <t>（m）</t>
    </r>
    <rPh sb="0" eb="3">
      <t>ケンチクブツ</t>
    </rPh>
    <rPh sb="4" eb="5">
      <t>タカ</t>
    </rPh>
    <phoneticPr fontId="1"/>
  </si>
  <si>
    <r>
      <t>建物の高さ</t>
    </r>
    <r>
      <rPr>
        <i/>
        <sz val="11"/>
        <color theme="1"/>
        <rFont val="Yu Gothic"/>
        <family val="3"/>
        <charset val="128"/>
        <scheme val="minor"/>
      </rPr>
      <t>ｈ</t>
    </r>
    <r>
      <rPr>
        <sz val="11"/>
        <color theme="1"/>
        <rFont val="Yu Gothic"/>
        <family val="3"/>
        <charset val="128"/>
        <scheme val="minor"/>
      </rPr>
      <t>は、土台＋基礎高さ＝0.5mと仮定し、屋根部分の高さ（最高高さー軒高）/２＋2階階高＋1階階高＋0.5ｍで算出している。本表計算ツールでは屋根部分の高さ（最高高さ―軒高）/２を0.9ｍとしている。</t>
    </r>
    <rPh sb="0" eb="2">
      <t>タテモノ</t>
    </rPh>
    <rPh sb="3" eb="4">
      <t>タカ</t>
    </rPh>
    <rPh sb="8" eb="10">
      <t>ドダイ</t>
    </rPh>
    <rPh sb="11" eb="13">
      <t>キソ</t>
    </rPh>
    <rPh sb="13" eb="14">
      <t>タカ</t>
    </rPh>
    <rPh sb="21" eb="23">
      <t>カテイ</t>
    </rPh>
    <rPh sb="25" eb="27">
      <t>ヤネ</t>
    </rPh>
    <rPh sb="27" eb="29">
      <t>ブブン</t>
    </rPh>
    <rPh sb="30" eb="31">
      <t>タカ</t>
    </rPh>
    <rPh sb="33" eb="36">
      <t>サイコウタカ</t>
    </rPh>
    <rPh sb="38" eb="40">
      <t>ノキダカ</t>
    </rPh>
    <rPh sb="45" eb="46">
      <t>カイ</t>
    </rPh>
    <rPh sb="46" eb="48">
      <t>カイダカ</t>
    </rPh>
    <rPh sb="50" eb="51">
      <t>カイ</t>
    </rPh>
    <rPh sb="51" eb="53">
      <t>カイダカ</t>
    </rPh>
    <rPh sb="59" eb="61">
      <t>サンシュツ</t>
    </rPh>
    <phoneticPr fontId="1"/>
  </si>
  <si>
    <r>
      <t>Σ</t>
    </r>
    <r>
      <rPr>
        <i/>
        <sz val="11"/>
        <color theme="1"/>
        <rFont val="Yu Gothic"/>
        <family val="3"/>
        <charset val="128"/>
        <scheme val="minor"/>
      </rPr>
      <t>w</t>
    </r>
    <r>
      <rPr>
        <vertAlign val="subscript"/>
        <sz val="11"/>
        <color theme="1"/>
        <rFont val="Yu Gothic"/>
        <family val="3"/>
        <charset val="128"/>
        <scheme val="minor"/>
      </rPr>
      <t>i</t>
    </r>
    <r>
      <rPr>
        <sz val="11"/>
        <color theme="1"/>
        <rFont val="Yu Gothic"/>
        <family val="2"/>
        <scheme val="minor"/>
      </rPr>
      <t>（kN）</t>
    </r>
    <phoneticPr fontId="1"/>
  </si>
  <si>
    <r>
      <rPr>
        <i/>
        <sz val="11"/>
        <color theme="1"/>
        <rFont val="Yu Gothic"/>
        <family val="3"/>
        <charset val="128"/>
        <scheme val="minor"/>
      </rPr>
      <t>A</t>
    </r>
    <r>
      <rPr>
        <vertAlign val="subscript"/>
        <sz val="11"/>
        <color theme="1"/>
        <rFont val="Yu Gothic"/>
        <family val="3"/>
        <charset val="128"/>
        <scheme val="minor"/>
      </rPr>
      <t>fi</t>
    </r>
    <r>
      <rPr>
        <sz val="11"/>
        <color theme="1"/>
        <rFont val="Yu Gothic"/>
        <family val="2"/>
        <scheme val="minor"/>
      </rPr>
      <t>（m</t>
    </r>
    <r>
      <rPr>
        <vertAlign val="superscript"/>
        <sz val="11"/>
        <color theme="1"/>
        <rFont val="Yu Gothic"/>
        <family val="3"/>
        <charset val="128"/>
        <scheme val="minor"/>
      </rPr>
      <t>2</t>
    </r>
    <r>
      <rPr>
        <sz val="11"/>
        <color theme="1"/>
        <rFont val="Yu Gothic"/>
        <family val="2"/>
        <scheme val="minor"/>
      </rPr>
      <t>）</t>
    </r>
    <phoneticPr fontId="1"/>
  </si>
  <si>
    <r>
      <t>Σ</t>
    </r>
    <r>
      <rPr>
        <i/>
        <sz val="11"/>
        <color theme="1"/>
        <rFont val="Yu Gothic"/>
        <family val="3"/>
        <charset val="128"/>
        <scheme val="minor"/>
      </rPr>
      <t>w</t>
    </r>
    <r>
      <rPr>
        <vertAlign val="subscript"/>
        <sz val="11"/>
        <color theme="1"/>
        <rFont val="Yu Gothic"/>
        <family val="3"/>
        <charset val="128"/>
        <scheme val="minor"/>
      </rPr>
      <t>2-2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t>
    </r>
    <r>
      <rPr>
        <i/>
        <sz val="11"/>
        <color theme="1"/>
        <rFont val="Yu Gothic"/>
        <family val="3"/>
        <charset val="128"/>
        <scheme val="minor"/>
      </rPr>
      <t>A</t>
    </r>
    <r>
      <rPr>
        <vertAlign val="subscript"/>
        <sz val="11"/>
        <color theme="1"/>
        <rFont val="Yu Gothic"/>
        <family val="3"/>
        <charset val="128"/>
        <scheme val="minor"/>
      </rPr>
      <t>f2</t>
    </r>
    <r>
      <rPr>
        <sz val="11"/>
        <color theme="1"/>
        <rFont val="Yu Gothic"/>
        <family val="2"/>
        <scheme val="minor"/>
      </rPr>
      <t xml:space="preserve"> ＋0.5×(</t>
    </r>
    <r>
      <rPr>
        <i/>
        <sz val="11"/>
        <color theme="1"/>
        <rFont val="Yu Gothic"/>
        <family val="3"/>
        <charset val="128"/>
        <scheme val="minor"/>
      </rPr>
      <t>G</t>
    </r>
    <r>
      <rPr>
        <vertAlign val="subscript"/>
        <sz val="11"/>
        <color theme="1"/>
        <rFont val="Yu Gothic"/>
        <family val="3"/>
        <charset val="128"/>
        <scheme val="minor"/>
      </rPr>
      <t>ow2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iw2</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2"/>
        <scheme val="minor"/>
      </rPr>
      <t>)×</t>
    </r>
    <r>
      <rPr>
        <i/>
        <sz val="11"/>
        <color theme="1"/>
        <rFont val="Yu Gothic"/>
        <family val="3"/>
        <charset val="128"/>
        <scheme val="minor"/>
      </rPr>
      <t>A</t>
    </r>
    <r>
      <rPr>
        <vertAlign val="subscript"/>
        <sz val="11"/>
        <color theme="1"/>
        <rFont val="Yu Gothic"/>
        <family val="3"/>
        <charset val="128"/>
        <scheme val="minor"/>
      </rPr>
      <t>f2</t>
    </r>
    <phoneticPr fontId="1"/>
  </si>
  <si>
    <r>
      <t>Σ</t>
    </r>
    <r>
      <rPr>
        <i/>
        <sz val="11"/>
        <color theme="1"/>
        <rFont val="Yu Gothic"/>
        <family val="3"/>
        <charset val="128"/>
        <scheme val="minor"/>
      </rPr>
      <t>w</t>
    </r>
    <r>
      <rPr>
        <vertAlign val="subscript"/>
        <sz val="11"/>
        <color theme="1"/>
        <rFont val="Yu Gothic"/>
        <family val="3"/>
        <charset val="128"/>
        <scheme val="minor"/>
      </rPr>
      <t>2-1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t>
    </r>
    <r>
      <rPr>
        <sz val="11"/>
        <color theme="1"/>
        <rFont val="Yu Gothic"/>
        <family val="3"/>
        <charset val="128"/>
        <scheme val="minor"/>
      </rPr>
      <t>×max(</t>
    </r>
    <r>
      <rPr>
        <i/>
        <sz val="11"/>
        <color theme="1"/>
        <rFont val="Yu Gothic"/>
        <family val="3"/>
        <charset val="128"/>
        <scheme val="minor"/>
      </rPr>
      <t>A</t>
    </r>
    <r>
      <rPr>
        <i/>
        <vertAlign val="subscript"/>
        <sz val="11"/>
        <color theme="1"/>
        <rFont val="Yu Gothic"/>
        <family val="3"/>
        <charset val="128"/>
        <scheme val="minor"/>
      </rPr>
      <t>f1</t>
    </r>
    <r>
      <rPr>
        <i/>
        <sz val="11"/>
        <color theme="1"/>
        <rFont val="Yu Gothic"/>
        <family val="3"/>
        <charset val="128"/>
        <scheme val="minor"/>
      </rPr>
      <t>,A</t>
    </r>
    <r>
      <rPr>
        <i/>
        <vertAlign val="subscript"/>
        <sz val="11"/>
        <color theme="1"/>
        <rFont val="Yu Gothic"/>
        <family val="3"/>
        <charset val="128"/>
        <scheme val="minor"/>
      </rPr>
      <t>f2</t>
    </r>
    <r>
      <rPr>
        <sz val="11"/>
        <color theme="1"/>
        <rFont val="Yu Gothic"/>
        <family val="3"/>
        <charset val="128"/>
        <scheme val="minor"/>
      </rPr>
      <t>)</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ow2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iw2</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2"/>
        <scheme val="minor"/>
      </rPr>
      <t>)×</t>
    </r>
    <r>
      <rPr>
        <i/>
        <sz val="11"/>
        <color theme="1"/>
        <rFont val="Yu Gothic"/>
        <family val="3"/>
        <charset val="128"/>
        <scheme val="minor"/>
      </rPr>
      <t>A</t>
    </r>
    <r>
      <rPr>
        <vertAlign val="subscript"/>
        <sz val="11"/>
        <color theme="1"/>
        <rFont val="Yu Gothic"/>
        <family val="3"/>
        <charset val="128"/>
        <scheme val="minor"/>
      </rPr>
      <t>f2</t>
    </r>
    <r>
      <rPr>
        <sz val="11"/>
        <color theme="1"/>
        <rFont val="Yu Gothic"/>
        <family val="2"/>
        <scheme val="minor"/>
      </rPr>
      <t>＋0.5×(</t>
    </r>
    <r>
      <rPr>
        <i/>
        <sz val="11"/>
        <color theme="1"/>
        <rFont val="Yu Gothic"/>
        <family val="3"/>
        <charset val="128"/>
        <scheme val="minor"/>
      </rPr>
      <t>G</t>
    </r>
    <r>
      <rPr>
        <vertAlign val="subscript"/>
        <sz val="11"/>
        <color theme="1"/>
        <rFont val="Yu Gothic"/>
        <family val="3"/>
        <charset val="128"/>
        <scheme val="minor"/>
      </rPr>
      <t>ow1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iw2</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2"/>
        <scheme val="minor"/>
      </rPr>
      <t>)×</t>
    </r>
    <r>
      <rPr>
        <i/>
        <sz val="11"/>
        <color theme="1"/>
        <rFont val="Yu Gothic"/>
        <family val="3"/>
        <charset val="128"/>
        <scheme val="minor"/>
      </rPr>
      <t>A</t>
    </r>
    <r>
      <rPr>
        <vertAlign val="subscript"/>
        <sz val="11"/>
        <color theme="1"/>
        <rFont val="Yu Gothic"/>
        <family val="3"/>
        <charset val="128"/>
        <scheme val="minor"/>
      </rPr>
      <t>f1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f</t>
    </r>
    <r>
      <rPr>
        <sz val="11"/>
        <color theme="1"/>
        <rFont val="Yu Gothic"/>
        <family val="2"/>
        <scheme val="minor"/>
      </rPr>
      <t>＋</t>
    </r>
    <r>
      <rPr>
        <i/>
        <sz val="11"/>
        <color theme="1"/>
        <rFont val="Yu Gothic"/>
        <family val="3"/>
        <charset val="128"/>
        <scheme val="minor"/>
      </rPr>
      <t>P</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A</t>
    </r>
    <r>
      <rPr>
        <vertAlign val="subscript"/>
        <sz val="11"/>
        <color theme="1"/>
        <rFont val="Yu Gothic"/>
        <family val="3"/>
        <charset val="128"/>
        <scheme val="minor"/>
      </rPr>
      <t>f2</t>
    </r>
    <phoneticPr fontId="1"/>
  </si>
  <si>
    <r>
      <t>Σ</t>
    </r>
    <r>
      <rPr>
        <i/>
        <sz val="11"/>
        <color theme="1"/>
        <rFont val="Yu Gothic"/>
        <family val="3"/>
        <charset val="128"/>
        <scheme val="minor"/>
      </rPr>
      <t>w</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t>
    </r>
    <r>
      <rPr>
        <i/>
        <sz val="11"/>
        <color theme="1"/>
        <rFont val="Yu Gothic"/>
        <family val="3"/>
        <charset val="128"/>
        <scheme val="minor"/>
      </rPr>
      <t>A</t>
    </r>
    <r>
      <rPr>
        <vertAlign val="subscript"/>
        <sz val="11"/>
        <color theme="1"/>
        <rFont val="Yu Gothic"/>
        <family val="3"/>
        <charset val="128"/>
        <scheme val="minor"/>
      </rPr>
      <t>f1</t>
    </r>
    <r>
      <rPr>
        <sz val="11"/>
        <color theme="1"/>
        <rFont val="Yu Gothic"/>
        <family val="2"/>
        <scheme val="minor"/>
      </rPr>
      <t xml:space="preserve"> ＋0.5×(</t>
    </r>
    <r>
      <rPr>
        <i/>
        <sz val="11"/>
        <color theme="1"/>
        <rFont val="Yu Gothic"/>
        <family val="3"/>
        <charset val="128"/>
        <scheme val="minor"/>
      </rPr>
      <t>G</t>
    </r>
    <r>
      <rPr>
        <vertAlign val="subscript"/>
        <sz val="11"/>
        <color theme="1"/>
        <rFont val="Yu Gothic"/>
        <family val="3"/>
        <charset val="128"/>
        <scheme val="minor"/>
      </rPr>
      <t>ow1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2"/>
        <scheme val="minor"/>
      </rPr>
      <t>)×</t>
    </r>
    <r>
      <rPr>
        <i/>
        <sz val="11"/>
        <color theme="1"/>
        <rFont val="Yu Gothic"/>
        <family val="3"/>
        <charset val="128"/>
        <scheme val="minor"/>
      </rPr>
      <t>A</t>
    </r>
    <r>
      <rPr>
        <vertAlign val="subscript"/>
        <sz val="11"/>
        <color theme="1"/>
        <rFont val="Yu Gothic"/>
        <family val="3"/>
        <charset val="128"/>
        <scheme val="minor"/>
      </rPr>
      <t>f1</t>
    </r>
    <phoneticPr fontId="1"/>
  </si>
  <si>
    <r>
      <t>床面積当たりの屋根荷重(天井含む)（kN/m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7" eb="11">
      <t>ヤネカジュウ</t>
    </rPh>
    <rPh sb="12" eb="15">
      <t>テンジョウフク</t>
    </rPh>
    <phoneticPr fontId="1"/>
  </si>
  <si>
    <r>
      <t>床面積当たりの2階の外壁荷重（kN/m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8" eb="9">
      <t>カイ</t>
    </rPh>
    <rPh sb="10" eb="12">
      <t>ガイヘキ</t>
    </rPh>
    <rPh sb="12" eb="14">
      <t>カジュウ</t>
    </rPh>
    <phoneticPr fontId="1"/>
  </si>
  <si>
    <r>
      <t>床面積当たりの2階の内壁荷重（kN/m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8" eb="9">
      <t>カイ</t>
    </rPh>
    <rPh sb="10" eb="11">
      <t>ウチ</t>
    </rPh>
    <rPh sb="11" eb="12">
      <t>カベ</t>
    </rPh>
    <rPh sb="12" eb="14">
      <t>カジュウ</t>
    </rPh>
    <phoneticPr fontId="1"/>
  </si>
  <si>
    <r>
      <t>床面積当たりの1階の外壁荷重（kN/m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8" eb="9">
      <t>カイ</t>
    </rPh>
    <rPh sb="10" eb="12">
      <t>ガイヘキ</t>
    </rPh>
    <rPh sb="12" eb="14">
      <t>カジュウ</t>
    </rPh>
    <phoneticPr fontId="1"/>
  </si>
  <si>
    <r>
      <t>床面積当たりの1階の内壁荷重（kN/m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8" eb="9">
      <t>カイ</t>
    </rPh>
    <rPh sb="10" eb="11">
      <t>ウチ</t>
    </rPh>
    <rPh sb="11" eb="12">
      <t>カベ</t>
    </rPh>
    <rPh sb="12" eb="14">
      <t>カジュウ</t>
    </rPh>
    <phoneticPr fontId="1"/>
  </si>
  <si>
    <r>
      <t>床面積当たりの2階の床荷重（kN/m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8" eb="9">
      <t>カイ</t>
    </rPh>
    <rPh sb="10" eb="11">
      <t>ユカ</t>
    </rPh>
    <rPh sb="11" eb="13">
      <t>カジュウ</t>
    </rPh>
    <phoneticPr fontId="1"/>
  </si>
  <si>
    <r>
      <t>床面積当たりの2階の床の積載荷重（kN/m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8" eb="9">
      <t>カイ</t>
    </rPh>
    <rPh sb="10" eb="11">
      <t>ユカ</t>
    </rPh>
    <rPh sb="12" eb="14">
      <t>セキサイ</t>
    </rPh>
    <rPh sb="14" eb="16">
      <t>カジュウ</t>
    </rPh>
    <phoneticPr fontId="1"/>
  </si>
  <si>
    <r>
      <t>床面積当たりの天井（屋根）断熱材荷重（kN/m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7" eb="9">
      <t>テンジョウ</t>
    </rPh>
    <rPh sb="10" eb="12">
      <t>ヤネ</t>
    </rPh>
    <rPh sb="13" eb="16">
      <t>ダンネツザイ</t>
    </rPh>
    <rPh sb="16" eb="18">
      <t>カジュウ</t>
    </rPh>
    <phoneticPr fontId="1"/>
  </si>
  <si>
    <r>
      <t>床面積当たりの太陽光発電設備等荷重（kN/m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7" eb="10">
      <t>タイヨウコウ</t>
    </rPh>
    <rPh sb="10" eb="14">
      <t>ハツデンセツビ</t>
    </rPh>
    <rPh sb="14" eb="15">
      <t>トウ</t>
    </rPh>
    <rPh sb="15" eb="17">
      <t>カジュウ</t>
    </rPh>
    <phoneticPr fontId="1"/>
  </si>
  <si>
    <r>
      <t>床面積当たりの外壁断熱材荷重（kN/m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7" eb="9">
      <t>ガイヘキ</t>
    </rPh>
    <rPh sb="9" eb="12">
      <t>ダンネツザイ</t>
    </rPh>
    <rPh sb="12" eb="14">
      <t>カジュウ</t>
    </rPh>
    <phoneticPr fontId="1"/>
  </si>
  <si>
    <r>
      <t>床面積当たりの高断熱窓荷重（kN/m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7" eb="11">
      <t>コウダンネツマド</t>
    </rPh>
    <rPh sb="11" eb="13">
      <t>カジュウ</t>
    </rPh>
    <phoneticPr fontId="1"/>
  </si>
  <si>
    <r>
      <t>部位の面積当たりの荷重(N/m</t>
    </r>
    <r>
      <rPr>
        <vertAlign val="superscript"/>
        <sz val="11"/>
        <color theme="1"/>
        <rFont val="Yu Gothic"/>
        <family val="3"/>
        <charset val="128"/>
        <scheme val="minor"/>
      </rPr>
      <t>2</t>
    </r>
    <r>
      <rPr>
        <sz val="11"/>
        <color theme="1"/>
        <rFont val="Yu Gothic"/>
        <family val="2"/>
        <scheme val="minor"/>
      </rPr>
      <t>)</t>
    </r>
    <rPh sb="0" eb="2">
      <t>ブイ</t>
    </rPh>
    <rPh sb="3" eb="5">
      <t>メンセキ</t>
    </rPh>
    <rPh sb="5" eb="6">
      <t>ア</t>
    </rPh>
    <rPh sb="9" eb="11">
      <t>カジュウ</t>
    </rPh>
    <phoneticPr fontId="1"/>
  </si>
  <si>
    <r>
      <t>床面積当たりの荷重(N/m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7" eb="9">
      <t>カジュウ</t>
    </rPh>
    <phoneticPr fontId="1"/>
  </si>
  <si>
    <r>
      <t>瓦ぶき（640）</t>
    </r>
    <r>
      <rPr>
        <vertAlign val="superscript"/>
        <sz val="11"/>
        <color theme="1"/>
        <rFont val="Yu Gothic"/>
        <family val="3"/>
        <charset val="128"/>
        <scheme val="minor"/>
      </rPr>
      <t>※１</t>
    </r>
    <r>
      <rPr>
        <sz val="11"/>
        <color theme="1"/>
        <rFont val="Yu Gothic"/>
        <family val="2"/>
        <scheme val="minor"/>
      </rPr>
      <t>+小屋組（200）</t>
    </r>
    <r>
      <rPr>
        <vertAlign val="superscript"/>
        <sz val="11"/>
        <color theme="1"/>
        <rFont val="Yu Gothic"/>
        <family val="3"/>
        <charset val="128"/>
        <scheme val="minor"/>
      </rPr>
      <t>※2</t>
    </r>
    <r>
      <rPr>
        <sz val="11"/>
        <color theme="1"/>
        <rFont val="Yu Gothic"/>
        <family val="2"/>
        <scheme val="minor"/>
      </rPr>
      <t>+打上げ天井（150）</t>
    </r>
    <r>
      <rPr>
        <vertAlign val="superscript"/>
        <sz val="11"/>
        <color theme="1"/>
        <rFont val="Yu Gothic"/>
        <family val="3"/>
        <charset val="128"/>
        <scheme val="minor"/>
      </rPr>
      <t>※1</t>
    </r>
    <phoneticPr fontId="1"/>
  </si>
  <si>
    <r>
      <t>スレートぶき（440）</t>
    </r>
    <r>
      <rPr>
        <vertAlign val="superscript"/>
        <sz val="11"/>
        <color theme="1"/>
        <rFont val="Yu Gothic"/>
        <family val="3"/>
        <charset val="128"/>
        <scheme val="minor"/>
      </rPr>
      <t>※１</t>
    </r>
    <r>
      <rPr>
        <sz val="11"/>
        <color theme="1"/>
        <rFont val="Yu Gothic"/>
        <family val="2"/>
        <scheme val="minor"/>
      </rPr>
      <t>+小屋組（200）</t>
    </r>
    <r>
      <rPr>
        <vertAlign val="superscript"/>
        <sz val="11"/>
        <color theme="1"/>
        <rFont val="Yu Gothic"/>
        <family val="3"/>
        <charset val="128"/>
        <scheme val="minor"/>
      </rPr>
      <t>※2</t>
    </r>
    <r>
      <rPr>
        <sz val="11"/>
        <color theme="1"/>
        <rFont val="Yu Gothic"/>
        <family val="2"/>
        <scheme val="minor"/>
      </rPr>
      <t>+さお縁天井（100）</t>
    </r>
    <r>
      <rPr>
        <vertAlign val="superscript"/>
        <sz val="11"/>
        <color theme="1"/>
        <rFont val="Yu Gothic"/>
        <family val="3"/>
        <charset val="128"/>
        <scheme val="minor"/>
      </rPr>
      <t>※1</t>
    </r>
    <phoneticPr fontId="1"/>
  </si>
  <si>
    <r>
      <t>鉄板かわら棒ぶき（200）</t>
    </r>
    <r>
      <rPr>
        <vertAlign val="superscript"/>
        <sz val="11"/>
        <color theme="1"/>
        <rFont val="Yu Gothic"/>
        <family val="3"/>
        <charset val="128"/>
        <scheme val="minor"/>
      </rPr>
      <t>※2</t>
    </r>
    <r>
      <rPr>
        <sz val="11"/>
        <color theme="1"/>
        <rFont val="Yu Gothic"/>
        <family val="2"/>
        <scheme val="minor"/>
      </rPr>
      <t>+小屋組（200）</t>
    </r>
    <r>
      <rPr>
        <vertAlign val="superscript"/>
        <sz val="11"/>
        <color theme="1"/>
        <rFont val="Yu Gothic"/>
        <family val="3"/>
        <charset val="128"/>
        <scheme val="minor"/>
      </rPr>
      <t>※2</t>
    </r>
    <r>
      <rPr>
        <sz val="11"/>
        <color theme="1"/>
        <rFont val="Yu Gothic"/>
        <family val="2"/>
        <scheme val="minor"/>
      </rPr>
      <t>+さお縁天井（100）</t>
    </r>
    <r>
      <rPr>
        <vertAlign val="superscript"/>
        <sz val="11"/>
        <color theme="1"/>
        <rFont val="Yu Gothic"/>
        <family val="3"/>
        <charset val="128"/>
        <scheme val="minor"/>
      </rPr>
      <t>※1</t>
    </r>
    <phoneticPr fontId="1"/>
  </si>
  <si>
    <r>
      <t>畳敷（340）</t>
    </r>
    <r>
      <rPr>
        <vertAlign val="superscript"/>
        <sz val="11"/>
        <color theme="1"/>
        <rFont val="Yu Gothic"/>
        <family val="3"/>
        <charset val="128"/>
        <scheme val="minor"/>
      </rPr>
      <t>※1</t>
    </r>
    <r>
      <rPr>
        <sz val="11"/>
        <color theme="1"/>
        <rFont val="Yu Gothic"/>
        <family val="2"/>
        <scheme val="minor"/>
      </rPr>
      <t>+床ばり（170）</t>
    </r>
    <r>
      <rPr>
        <vertAlign val="superscript"/>
        <sz val="11"/>
        <color theme="1"/>
        <rFont val="Yu Gothic"/>
        <family val="3"/>
        <charset val="128"/>
        <scheme val="minor"/>
      </rPr>
      <t>※1</t>
    </r>
    <r>
      <rPr>
        <sz val="11"/>
        <color theme="1"/>
        <rFont val="Yu Gothic"/>
        <family val="3"/>
        <charset val="128"/>
        <scheme val="minor"/>
      </rPr>
      <t>＋さお縁天井（100）</t>
    </r>
    <r>
      <rPr>
        <vertAlign val="superscript"/>
        <sz val="11"/>
        <color theme="1"/>
        <rFont val="Yu Gothic"/>
        <family val="3"/>
        <charset val="128"/>
        <scheme val="minor"/>
      </rPr>
      <t>※1</t>
    </r>
    <rPh sb="0" eb="1">
      <t>タタミ</t>
    </rPh>
    <rPh sb="1" eb="2">
      <t>シキ</t>
    </rPh>
    <rPh sb="10" eb="11">
      <t>ユカ</t>
    </rPh>
    <phoneticPr fontId="1"/>
  </si>
  <si>
    <r>
      <t>外壁及び壁断熱材の床面積当たりの荷重（N/m</t>
    </r>
    <r>
      <rPr>
        <vertAlign val="superscript"/>
        <sz val="11"/>
        <color theme="1"/>
        <rFont val="Yu Gothic"/>
        <family val="3"/>
        <charset val="128"/>
        <scheme val="minor"/>
      </rPr>
      <t>2</t>
    </r>
    <r>
      <rPr>
        <sz val="11"/>
        <color theme="1"/>
        <rFont val="Yu Gothic"/>
        <family val="2"/>
        <scheme val="minor"/>
      </rPr>
      <t>）＝部位の面積当たりの荷重（N/m</t>
    </r>
    <r>
      <rPr>
        <vertAlign val="superscript"/>
        <sz val="11"/>
        <color theme="1"/>
        <rFont val="Yu Gothic"/>
        <family val="3"/>
        <charset val="128"/>
        <scheme val="minor"/>
      </rPr>
      <t>2</t>
    </r>
    <r>
      <rPr>
        <sz val="11"/>
        <color theme="1"/>
        <rFont val="Yu Gothic"/>
        <family val="2"/>
        <scheme val="minor"/>
      </rPr>
      <t>）×((2</t>
    </r>
    <r>
      <rPr>
        <i/>
        <sz val="11"/>
        <color theme="1"/>
        <rFont val="Yu Gothic"/>
        <family val="3"/>
        <charset val="128"/>
        <scheme val="minor"/>
      </rPr>
      <t>X</t>
    </r>
    <r>
      <rPr>
        <sz val="11"/>
        <color theme="1"/>
        <rFont val="Yu Gothic"/>
        <family val="2"/>
        <scheme val="minor"/>
      </rPr>
      <t>×</t>
    </r>
    <r>
      <rPr>
        <i/>
        <sz val="11"/>
        <color theme="1"/>
        <rFont val="Yu Gothic"/>
        <family val="3"/>
        <charset val="128"/>
        <scheme val="minor"/>
      </rPr>
      <t>h</t>
    </r>
    <r>
      <rPr>
        <vertAlign val="subscript"/>
        <sz val="11"/>
        <color theme="1"/>
        <rFont val="Yu Gothic"/>
        <family val="3"/>
        <charset val="128"/>
        <scheme val="minor"/>
      </rPr>
      <t>i</t>
    </r>
    <r>
      <rPr>
        <sz val="11"/>
        <color theme="1"/>
        <rFont val="Yu Gothic"/>
        <family val="2"/>
        <scheme val="minor"/>
      </rPr>
      <t>+2</t>
    </r>
    <r>
      <rPr>
        <i/>
        <sz val="11"/>
        <color theme="1"/>
        <rFont val="Yu Gothic"/>
        <family val="3"/>
        <charset val="128"/>
        <scheme val="minor"/>
      </rPr>
      <t>Y</t>
    </r>
    <r>
      <rPr>
        <sz val="11"/>
        <color theme="1"/>
        <rFont val="Yu Gothic"/>
        <family val="2"/>
        <scheme val="minor"/>
      </rPr>
      <t>×</t>
    </r>
    <r>
      <rPr>
        <i/>
        <sz val="11"/>
        <color theme="1"/>
        <rFont val="Yu Gothic"/>
        <family val="3"/>
        <charset val="128"/>
        <scheme val="minor"/>
      </rPr>
      <t>h</t>
    </r>
    <r>
      <rPr>
        <vertAlign val="subscript"/>
        <sz val="11"/>
        <color theme="1"/>
        <rFont val="Yu Gothic"/>
        <family val="3"/>
        <charset val="128"/>
        <scheme val="minor"/>
      </rPr>
      <t>i</t>
    </r>
    <r>
      <rPr>
        <sz val="11"/>
        <color theme="1"/>
        <rFont val="Yu Gothic"/>
        <family val="2"/>
        <scheme val="minor"/>
      </rPr>
      <t>)×(1-</t>
    </r>
    <r>
      <rPr>
        <i/>
        <sz val="11"/>
        <color theme="1"/>
        <rFont val="Yu Gothic"/>
        <family val="3"/>
        <charset val="128"/>
        <scheme val="minor"/>
      </rPr>
      <t>W</t>
    </r>
    <r>
      <rPr>
        <sz val="11"/>
        <color theme="1"/>
        <rFont val="Yu Gothic"/>
        <family val="2"/>
        <scheme val="minor"/>
      </rPr>
      <t>)/(</t>
    </r>
    <r>
      <rPr>
        <i/>
        <sz val="11"/>
        <color theme="1"/>
        <rFont val="Yu Gothic"/>
        <family val="3"/>
        <charset val="128"/>
        <scheme val="minor"/>
      </rPr>
      <t>X</t>
    </r>
    <r>
      <rPr>
        <sz val="11"/>
        <color theme="1"/>
        <rFont val="Yu Gothic"/>
        <family val="2"/>
        <scheme val="minor"/>
      </rPr>
      <t>×</t>
    </r>
    <r>
      <rPr>
        <i/>
        <sz val="11"/>
        <color theme="1"/>
        <rFont val="Yu Gothic"/>
        <family val="3"/>
        <charset val="128"/>
        <scheme val="minor"/>
      </rPr>
      <t>Y</t>
    </r>
    <r>
      <rPr>
        <sz val="11"/>
        <color theme="1"/>
        <rFont val="Yu Gothic"/>
        <family val="2"/>
        <scheme val="minor"/>
      </rPr>
      <t>)</t>
    </r>
    <rPh sb="0" eb="2">
      <t>ガイヘキ</t>
    </rPh>
    <rPh sb="2" eb="3">
      <t>オヨ</t>
    </rPh>
    <rPh sb="4" eb="5">
      <t>カベ</t>
    </rPh>
    <rPh sb="5" eb="8">
      <t>ダンネツザイ</t>
    </rPh>
    <rPh sb="9" eb="12">
      <t>ユカメンセキ</t>
    </rPh>
    <rPh sb="12" eb="13">
      <t>ア</t>
    </rPh>
    <rPh sb="16" eb="18">
      <t>カジュウ</t>
    </rPh>
    <rPh sb="25" eb="27">
      <t>ブイ</t>
    </rPh>
    <rPh sb="28" eb="30">
      <t>メンセキ</t>
    </rPh>
    <rPh sb="30" eb="31">
      <t>ア</t>
    </rPh>
    <rPh sb="34" eb="36">
      <t>カジュウ</t>
    </rPh>
    <phoneticPr fontId="1"/>
  </si>
  <si>
    <r>
      <t>開口部の床面積当たりの荷重（N/m</t>
    </r>
    <r>
      <rPr>
        <vertAlign val="superscript"/>
        <sz val="11"/>
        <color theme="1"/>
        <rFont val="Yu Gothic"/>
        <family val="3"/>
        <charset val="128"/>
        <scheme val="minor"/>
      </rPr>
      <t>2</t>
    </r>
    <r>
      <rPr>
        <sz val="11"/>
        <color theme="1"/>
        <rFont val="Yu Gothic"/>
        <family val="2"/>
        <scheme val="minor"/>
      </rPr>
      <t>）＝部位の面積当たりの荷重（N/m</t>
    </r>
    <r>
      <rPr>
        <vertAlign val="superscript"/>
        <sz val="11"/>
        <color theme="1"/>
        <rFont val="Yu Gothic"/>
        <family val="3"/>
        <charset val="128"/>
        <scheme val="minor"/>
      </rPr>
      <t>2</t>
    </r>
    <r>
      <rPr>
        <sz val="11"/>
        <color theme="1"/>
        <rFont val="Yu Gothic"/>
        <family val="2"/>
        <scheme val="minor"/>
      </rPr>
      <t>）×((2</t>
    </r>
    <r>
      <rPr>
        <i/>
        <sz val="11"/>
        <color theme="1"/>
        <rFont val="Yu Gothic"/>
        <family val="3"/>
        <charset val="128"/>
        <scheme val="minor"/>
      </rPr>
      <t>X</t>
    </r>
    <r>
      <rPr>
        <sz val="11"/>
        <color theme="1"/>
        <rFont val="Yu Gothic"/>
        <family val="2"/>
        <scheme val="minor"/>
      </rPr>
      <t>×</t>
    </r>
    <r>
      <rPr>
        <i/>
        <sz val="11"/>
        <color theme="1"/>
        <rFont val="Yu Gothic"/>
        <family val="3"/>
        <charset val="128"/>
        <scheme val="minor"/>
      </rPr>
      <t>h</t>
    </r>
    <r>
      <rPr>
        <vertAlign val="subscript"/>
        <sz val="11"/>
        <color theme="1"/>
        <rFont val="Yu Gothic"/>
        <family val="3"/>
        <charset val="128"/>
        <scheme val="minor"/>
      </rPr>
      <t>i</t>
    </r>
    <r>
      <rPr>
        <sz val="11"/>
        <color theme="1"/>
        <rFont val="Yu Gothic"/>
        <family val="2"/>
        <scheme val="minor"/>
      </rPr>
      <t>+2</t>
    </r>
    <r>
      <rPr>
        <i/>
        <sz val="11"/>
        <color theme="1"/>
        <rFont val="Yu Gothic"/>
        <family val="3"/>
        <charset val="128"/>
        <scheme val="minor"/>
      </rPr>
      <t>Y</t>
    </r>
    <r>
      <rPr>
        <sz val="11"/>
        <color theme="1"/>
        <rFont val="Yu Gothic"/>
        <family val="2"/>
        <scheme val="minor"/>
      </rPr>
      <t>×</t>
    </r>
    <r>
      <rPr>
        <i/>
        <sz val="11"/>
        <color theme="1"/>
        <rFont val="Yu Gothic"/>
        <family val="3"/>
        <charset val="128"/>
        <scheme val="minor"/>
      </rPr>
      <t>h</t>
    </r>
    <r>
      <rPr>
        <vertAlign val="subscript"/>
        <sz val="11"/>
        <color theme="1"/>
        <rFont val="Yu Gothic"/>
        <family val="3"/>
        <charset val="128"/>
        <scheme val="minor"/>
      </rPr>
      <t>i</t>
    </r>
    <r>
      <rPr>
        <sz val="11"/>
        <color theme="1"/>
        <rFont val="Yu Gothic"/>
        <family val="2"/>
        <scheme val="minor"/>
      </rPr>
      <t>)×</t>
    </r>
    <r>
      <rPr>
        <i/>
        <sz val="11"/>
        <color theme="1"/>
        <rFont val="Yu Gothic"/>
        <family val="3"/>
        <charset val="128"/>
        <scheme val="minor"/>
      </rPr>
      <t>W</t>
    </r>
    <r>
      <rPr>
        <sz val="11"/>
        <color theme="1"/>
        <rFont val="Yu Gothic"/>
        <family val="2"/>
        <scheme val="minor"/>
      </rPr>
      <t>/(</t>
    </r>
    <r>
      <rPr>
        <i/>
        <sz val="11"/>
        <color theme="1"/>
        <rFont val="Yu Gothic"/>
        <family val="3"/>
        <charset val="128"/>
        <scheme val="minor"/>
      </rPr>
      <t>X</t>
    </r>
    <r>
      <rPr>
        <sz val="11"/>
        <color theme="1"/>
        <rFont val="Yu Gothic"/>
        <family val="2"/>
        <scheme val="minor"/>
      </rPr>
      <t>×</t>
    </r>
    <r>
      <rPr>
        <i/>
        <sz val="11"/>
        <color theme="1"/>
        <rFont val="Yu Gothic"/>
        <family val="3"/>
        <charset val="128"/>
        <scheme val="minor"/>
      </rPr>
      <t>Y</t>
    </r>
    <r>
      <rPr>
        <sz val="11"/>
        <color theme="1"/>
        <rFont val="Yu Gothic"/>
        <family val="2"/>
        <scheme val="minor"/>
      </rPr>
      <t>)</t>
    </r>
    <rPh sb="0" eb="3">
      <t>カイコウブ</t>
    </rPh>
    <rPh sb="4" eb="7">
      <t>ユカメンセキ</t>
    </rPh>
    <rPh sb="7" eb="8">
      <t>ア</t>
    </rPh>
    <rPh sb="11" eb="13">
      <t>カジュウ</t>
    </rPh>
    <phoneticPr fontId="1"/>
  </si>
  <si>
    <r>
      <t>建物の平面形状を長方形と仮定した場合の外周のX方向の壁長さ（m）。本ツールでは</t>
    </r>
    <r>
      <rPr>
        <i/>
        <sz val="11"/>
        <color theme="1"/>
        <rFont val="Yu Gothic"/>
        <family val="3"/>
        <charset val="128"/>
        <scheme val="minor"/>
      </rPr>
      <t>X</t>
    </r>
    <r>
      <rPr>
        <sz val="11"/>
        <color theme="1"/>
        <rFont val="Yu Gothic"/>
        <family val="2"/>
        <scheme val="minor"/>
      </rPr>
      <t>＝6mとしている。</t>
    </r>
    <rPh sb="0" eb="2">
      <t>タテモノ</t>
    </rPh>
    <rPh sb="3" eb="7">
      <t>ヘイメンケイジョウ</t>
    </rPh>
    <rPh sb="8" eb="11">
      <t>チョウホウケイ</t>
    </rPh>
    <rPh sb="12" eb="14">
      <t>カテイ</t>
    </rPh>
    <rPh sb="16" eb="18">
      <t>バアイ</t>
    </rPh>
    <rPh sb="19" eb="21">
      <t>ガイシュウ</t>
    </rPh>
    <rPh sb="23" eb="25">
      <t>ホウコウ</t>
    </rPh>
    <rPh sb="26" eb="27">
      <t>カベ</t>
    </rPh>
    <rPh sb="27" eb="28">
      <t>ナガ</t>
    </rPh>
    <rPh sb="33" eb="34">
      <t>ホン</t>
    </rPh>
    <phoneticPr fontId="1"/>
  </si>
  <si>
    <r>
      <t>建物の平面形状を長方形と仮定した場合の外周のY方向の壁長さ（m）。本ツールでは</t>
    </r>
    <r>
      <rPr>
        <i/>
        <sz val="11"/>
        <color theme="1"/>
        <rFont val="Yu Gothic"/>
        <family val="3"/>
        <charset val="128"/>
        <scheme val="minor"/>
      </rPr>
      <t>Y</t>
    </r>
    <r>
      <rPr>
        <sz val="11"/>
        <color theme="1"/>
        <rFont val="Yu Gothic"/>
        <family val="2"/>
        <scheme val="minor"/>
      </rPr>
      <t>＝16.5mとしている。</t>
    </r>
    <rPh sb="0" eb="2">
      <t>タテモノ</t>
    </rPh>
    <rPh sb="3" eb="7">
      <t>ヘイメンケイジョウ</t>
    </rPh>
    <rPh sb="8" eb="11">
      <t>チョウホウケイ</t>
    </rPh>
    <rPh sb="12" eb="14">
      <t>カテイ</t>
    </rPh>
    <rPh sb="16" eb="18">
      <t>バアイ</t>
    </rPh>
    <rPh sb="19" eb="21">
      <t>ガイシュウ</t>
    </rPh>
    <rPh sb="23" eb="25">
      <t>ホウコウ</t>
    </rPh>
    <rPh sb="26" eb="27">
      <t>カベ</t>
    </rPh>
    <rPh sb="27" eb="28">
      <t>ナガ</t>
    </rPh>
    <rPh sb="33" eb="34">
      <t>ホン</t>
    </rPh>
    <phoneticPr fontId="1"/>
  </si>
  <si>
    <r>
      <t>床面積当たりの荷重(N/m</t>
    </r>
    <r>
      <rPr>
        <vertAlign val="superscript"/>
        <sz val="11"/>
        <color theme="1"/>
        <rFont val="Yu Gothic"/>
        <family val="3"/>
        <charset val="128"/>
        <scheme val="minor"/>
      </rPr>
      <t>2</t>
    </r>
    <r>
      <rPr>
        <sz val="11"/>
        <color theme="1"/>
        <rFont val="Yu Gothic"/>
        <family val="2"/>
        <scheme val="minor"/>
      </rPr>
      <t>)
（階高2.8m時の例）</t>
    </r>
    <rPh sb="0" eb="3">
      <t>ユカメンセキ</t>
    </rPh>
    <rPh sb="3" eb="4">
      <t>ア</t>
    </rPh>
    <rPh sb="7" eb="9">
      <t>カジュウ</t>
    </rPh>
    <rPh sb="17" eb="19">
      <t>カイダカ</t>
    </rPh>
    <rPh sb="23" eb="24">
      <t>ジ</t>
    </rPh>
    <rPh sb="25" eb="26">
      <t>レイ</t>
    </rPh>
    <phoneticPr fontId="1"/>
  </si>
  <si>
    <r>
      <t>土塗り壁（上塗りとも、厚6.5㎜）（850）</t>
    </r>
    <r>
      <rPr>
        <vertAlign val="superscript"/>
        <sz val="11"/>
        <color theme="1"/>
        <rFont val="Yu Gothic"/>
        <family val="3"/>
        <charset val="128"/>
        <scheme val="minor"/>
      </rPr>
      <t>※2</t>
    </r>
    <r>
      <rPr>
        <sz val="11"/>
        <color theme="1"/>
        <rFont val="Yu Gothic"/>
        <family val="2"/>
        <scheme val="minor"/>
      </rPr>
      <t>+軸組（150）</t>
    </r>
    <r>
      <rPr>
        <vertAlign val="superscript"/>
        <sz val="11"/>
        <color theme="1"/>
        <rFont val="Yu Gothic"/>
        <family val="3"/>
        <charset val="128"/>
        <scheme val="minor"/>
      </rPr>
      <t>※1</t>
    </r>
    <phoneticPr fontId="1"/>
  </si>
  <si>
    <r>
      <t>モルタル壁（640）</t>
    </r>
    <r>
      <rPr>
        <vertAlign val="superscript"/>
        <sz val="11"/>
        <color theme="1"/>
        <rFont val="Yu Gothic"/>
        <family val="3"/>
        <charset val="128"/>
        <scheme val="minor"/>
      </rPr>
      <t xml:space="preserve">※1 </t>
    </r>
    <r>
      <rPr>
        <sz val="11"/>
        <color theme="1"/>
        <rFont val="Yu Gothic"/>
        <family val="2"/>
        <scheme val="minor"/>
      </rPr>
      <t>+軸組（150）</t>
    </r>
    <r>
      <rPr>
        <vertAlign val="superscript"/>
        <sz val="11"/>
        <color theme="1"/>
        <rFont val="Yu Gothic"/>
        <family val="3"/>
        <charset val="128"/>
        <scheme val="minor"/>
      </rPr>
      <t xml:space="preserve">※1 </t>
    </r>
    <r>
      <rPr>
        <sz val="11"/>
        <color theme="1"/>
        <rFont val="Yu Gothic"/>
        <family val="3"/>
        <charset val="128"/>
        <scheme val="minor"/>
      </rPr>
      <t>+せっこうボード（100）</t>
    </r>
    <r>
      <rPr>
        <vertAlign val="superscript"/>
        <sz val="11"/>
        <color theme="1"/>
        <rFont val="Yu Gothic"/>
        <family val="3"/>
        <charset val="128"/>
        <scheme val="minor"/>
      </rPr>
      <t>※2</t>
    </r>
    <phoneticPr fontId="1"/>
  </si>
  <si>
    <r>
      <t>サイディング（350）</t>
    </r>
    <r>
      <rPr>
        <vertAlign val="superscript"/>
        <sz val="11"/>
        <color theme="1"/>
        <rFont val="Yu Gothic"/>
        <family val="3"/>
        <charset val="128"/>
        <scheme val="minor"/>
      </rPr>
      <t xml:space="preserve">※2 </t>
    </r>
    <r>
      <rPr>
        <sz val="11"/>
        <color theme="1"/>
        <rFont val="Yu Gothic"/>
        <family val="2"/>
        <scheme val="minor"/>
      </rPr>
      <t>+軸組（150）</t>
    </r>
    <r>
      <rPr>
        <vertAlign val="superscript"/>
        <sz val="11"/>
        <color theme="1"/>
        <rFont val="Yu Gothic"/>
        <family val="3"/>
        <charset val="128"/>
        <scheme val="minor"/>
      </rPr>
      <t xml:space="preserve">※1 </t>
    </r>
    <r>
      <rPr>
        <sz val="11"/>
        <color theme="1"/>
        <rFont val="Yu Gothic"/>
        <family val="3"/>
        <charset val="128"/>
        <scheme val="minor"/>
      </rPr>
      <t>+せっこうボード（100）</t>
    </r>
    <r>
      <rPr>
        <vertAlign val="superscript"/>
        <sz val="11"/>
        <color theme="1"/>
        <rFont val="Yu Gothic"/>
        <family val="3"/>
        <charset val="128"/>
        <scheme val="minor"/>
      </rPr>
      <t>※2</t>
    </r>
    <phoneticPr fontId="1"/>
  </si>
  <si>
    <r>
      <t>金属板張（250）</t>
    </r>
    <r>
      <rPr>
        <vertAlign val="superscript"/>
        <sz val="11"/>
        <color theme="1"/>
        <rFont val="Yu Gothic"/>
        <family val="3"/>
        <charset val="128"/>
        <scheme val="minor"/>
      </rPr>
      <t xml:space="preserve">※2 </t>
    </r>
    <r>
      <rPr>
        <sz val="11"/>
        <color theme="1"/>
        <rFont val="Yu Gothic"/>
        <family val="2"/>
        <scheme val="minor"/>
      </rPr>
      <t>+軸組（150）</t>
    </r>
    <r>
      <rPr>
        <vertAlign val="superscript"/>
        <sz val="11"/>
        <color theme="1"/>
        <rFont val="Yu Gothic"/>
        <family val="3"/>
        <charset val="128"/>
        <scheme val="minor"/>
      </rPr>
      <t xml:space="preserve">※1 </t>
    </r>
    <r>
      <rPr>
        <sz val="11"/>
        <color theme="1"/>
        <rFont val="Yu Gothic"/>
        <family val="3"/>
        <charset val="128"/>
        <scheme val="minor"/>
      </rPr>
      <t>+せっこうボード（100）</t>
    </r>
    <r>
      <rPr>
        <vertAlign val="superscript"/>
        <sz val="11"/>
        <color theme="1"/>
        <rFont val="Yu Gothic"/>
        <family val="3"/>
        <charset val="128"/>
        <scheme val="minor"/>
      </rPr>
      <t>※2</t>
    </r>
    <phoneticPr fontId="1"/>
  </si>
  <si>
    <r>
      <t>・柱の負担可能面積は柱1本あたり5m</t>
    </r>
    <r>
      <rPr>
        <vertAlign val="superscript"/>
        <sz val="11"/>
        <color theme="1"/>
        <rFont val="Yu Gothic"/>
        <family val="3"/>
        <charset val="128"/>
        <scheme val="minor"/>
      </rPr>
      <t>2</t>
    </r>
    <r>
      <rPr>
        <sz val="11"/>
        <color theme="1"/>
        <rFont val="Yu Gothic"/>
        <family val="2"/>
        <scheme val="minor"/>
      </rPr>
      <t>として計算しており、設計時の柱の配置や間隔には注意を要する。</t>
    </r>
    <rPh sb="1" eb="2">
      <t>ハシラ</t>
    </rPh>
    <rPh sb="3" eb="9">
      <t>フタンカノウメンセキ</t>
    </rPh>
    <rPh sb="10" eb="11">
      <t>ハシラ</t>
    </rPh>
    <rPh sb="12" eb="13">
      <t>ホン</t>
    </rPh>
    <rPh sb="22" eb="24">
      <t>ケイサン</t>
    </rPh>
    <rPh sb="29" eb="32">
      <t>セッケイジ</t>
    </rPh>
    <rPh sb="33" eb="34">
      <t>ハシラ</t>
    </rPh>
    <rPh sb="35" eb="37">
      <t>ハイチ</t>
    </rPh>
    <rPh sb="38" eb="40">
      <t>カンカク</t>
    </rPh>
    <rPh sb="42" eb="44">
      <t>チュウイ</t>
    </rPh>
    <rPh sb="45" eb="46">
      <t>ヨウ</t>
    </rPh>
    <phoneticPr fontId="1"/>
  </si>
  <si>
    <r>
      <t>床面積当たりの荷重（N/ ㎜</t>
    </r>
    <r>
      <rPr>
        <vertAlign val="superscript"/>
        <sz val="11"/>
        <color theme="1"/>
        <rFont val="Yu Gothic"/>
        <family val="3"/>
        <charset val="128"/>
        <scheme val="minor"/>
      </rPr>
      <t>2</t>
    </r>
    <r>
      <rPr>
        <sz val="11"/>
        <color theme="1"/>
        <rFont val="Yu Gothic"/>
        <family val="2"/>
        <scheme val="minor"/>
      </rPr>
      <t>）。2-1、2-2では（４）の外周部の柱の単位面積あたりの負担荷重</t>
    </r>
    <r>
      <rPr>
        <i/>
        <sz val="11"/>
        <color theme="1"/>
        <rFont val="Yu Gothic"/>
        <family val="3"/>
        <charset val="128"/>
        <scheme val="minor"/>
      </rPr>
      <t>W</t>
    </r>
    <r>
      <rPr>
        <vertAlign val="subscript"/>
        <sz val="11"/>
        <color theme="1"/>
        <rFont val="Yu Gothic"/>
        <family val="3"/>
        <charset val="128"/>
        <scheme val="minor"/>
      </rPr>
      <t>doi</t>
    </r>
    <r>
      <rPr>
        <sz val="11"/>
        <color theme="1"/>
        <rFont val="Yu Gothic"/>
        <family val="2"/>
        <scheme val="minor"/>
      </rPr>
      <t>を用いている。</t>
    </r>
    <rPh sb="0" eb="3">
      <t>ユカメンセキ</t>
    </rPh>
    <rPh sb="3" eb="4">
      <t>ア</t>
    </rPh>
    <rPh sb="7" eb="9">
      <t>カジュウ</t>
    </rPh>
    <rPh sb="30" eb="32">
      <t>ガイシュウ</t>
    </rPh>
    <rPh sb="32" eb="33">
      <t>ブ</t>
    </rPh>
    <rPh sb="34" eb="35">
      <t>ハシラ</t>
    </rPh>
    <rPh sb="36" eb="38">
      <t>タンイ</t>
    </rPh>
    <rPh sb="38" eb="40">
      <t>メンセキ</t>
    </rPh>
    <rPh sb="44" eb="46">
      <t>フタン</t>
    </rPh>
    <rPh sb="46" eb="48">
      <t>カジュウ</t>
    </rPh>
    <rPh sb="53" eb="54">
      <t>モチ</t>
    </rPh>
    <phoneticPr fontId="1"/>
  </si>
  <si>
    <r>
      <t>荷重の負担面積（㎜</t>
    </r>
    <r>
      <rPr>
        <vertAlign val="superscript"/>
        <sz val="11"/>
        <color theme="1"/>
        <rFont val="Yu Gothic"/>
        <family val="3"/>
        <charset val="128"/>
        <scheme val="minor"/>
      </rPr>
      <t>2</t>
    </r>
    <r>
      <rPr>
        <sz val="11"/>
        <color theme="1"/>
        <rFont val="Yu Gothic"/>
        <family val="2"/>
        <scheme val="minor"/>
      </rPr>
      <t>）。本ツールでは5.0m</t>
    </r>
    <r>
      <rPr>
        <vertAlign val="superscript"/>
        <sz val="11"/>
        <color theme="1"/>
        <rFont val="Yu Gothic"/>
        <family val="3"/>
        <charset val="128"/>
        <scheme val="minor"/>
      </rPr>
      <t>2</t>
    </r>
    <r>
      <rPr>
        <sz val="11"/>
        <color theme="1"/>
        <rFont val="Yu Gothic"/>
        <family val="2"/>
        <scheme val="minor"/>
      </rPr>
      <t>と仮定している。</t>
    </r>
    <rPh sb="0" eb="2">
      <t>カジュウ</t>
    </rPh>
    <rPh sb="3" eb="7">
      <t>フタンメンセキ</t>
    </rPh>
    <phoneticPr fontId="1"/>
  </si>
  <si>
    <r>
      <t>柱材の圧縮の基準強度（N／㎜</t>
    </r>
    <r>
      <rPr>
        <vertAlign val="superscript"/>
        <sz val="11"/>
        <color theme="1"/>
        <rFont val="Yu Gothic"/>
        <family val="3"/>
        <charset val="128"/>
        <scheme val="minor"/>
      </rPr>
      <t>2</t>
    </r>
    <r>
      <rPr>
        <sz val="11"/>
        <color theme="1"/>
        <rFont val="Yu Gothic"/>
        <family val="2"/>
        <scheme val="minor"/>
      </rPr>
      <t>）。ここでは無等級材、すぎの圧縮の基準強度17.7N/㎜</t>
    </r>
    <r>
      <rPr>
        <vertAlign val="superscript"/>
        <sz val="11"/>
        <color theme="1"/>
        <rFont val="Yu Gothic"/>
        <family val="3"/>
        <charset val="128"/>
        <scheme val="minor"/>
      </rPr>
      <t>2</t>
    </r>
    <rPh sb="0" eb="1">
      <t>ハシラ</t>
    </rPh>
    <rPh sb="1" eb="2">
      <t>ザイ</t>
    </rPh>
    <rPh sb="3" eb="5">
      <t>アッシュク</t>
    </rPh>
    <rPh sb="6" eb="8">
      <t>キジュン</t>
    </rPh>
    <rPh sb="8" eb="10">
      <t>キョウド</t>
    </rPh>
    <rPh sb="21" eb="25">
      <t>ムトウキュウザイ</t>
    </rPh>
    <rPh sb="29" eb="31">
      <t>アッシュク</t>
    </rPh>
    <rPh sb="32" eb="36">
      <t>キジュンキョウド</t>
    </rPh>
    <phoneticPr fontId="1"/>
  </si>
  <si>
    <r>
      <t>i階部分の柱の単位面積あたりの負担荷重の算出方法は下記のとおりである。ただし、積載荷重については1300N/㎜</t>
    </r>
    <r>
      <rPr>
        <vertAlign val="superscript"/>
        <sz val="11"/>
        <color theme="1"/>
        <rFont val="Yu Gothic"/>
        <family val="3"/>
        <charset val="128"/>
        <scheme val="minor"/>
      </rPr>
      <t>2</t>
    </r>
    <r>
      <rPr>
        <sz val="11"/>
        <color theme="1"/>
        <rFont val="Yu Gothic"/>
        <family val="2"/>
        <scheme val="minor"/>
      </rPr>
      <t>とする。</t>
    </r>
    <rPh sb="20" eb="24">
      <t>サンシュツホウホウ</t>
    </rPh>
    <rPh sb="25" eb="27">
      <t>カキ</t>
    </rPh>
    <rPh sb="39" eb="43">
      <t>セキサイカジュウ</t>
    </rPh>
    <phoneticPr fontId="1"/>
  </si>
  <si>
    <r>
      <rPr>
        <i/>
        <sz val="11"/>
        <color theme="1"/>
        <rFont val="Yu Gothic"/>
        <family val="3"/>
        <charset val="128"/>
        <scheme val="minor"/>
      </rPr>
      <t>W</t>
    </r>
    <r>
      <rPr>
        <vertAlign val="subscript"/>
        <sz val="11"/>
        <color theme="1"/>
        <rFont val="Yu Gothic"/>
        <family val="3"/>
        <charset val="128"/>
        <scheme val="minor"/>
      </rPr>
      <t>dO2-2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 xml:space="preserve"> ＋0.5×(</t>
    </r>
    <r>
      <rPr>
        <i/>
        <sz val="11"/>
        <color theme="1"/>
        <rFont val="Yu Gothic"/>
        <family val="3"/>
        <charset val="128"/>
        <scheme val="minor"/>
      </rPr>
      <t>G</t>
    </r>
    <r>
      <rPr>
        <vertAlign val="subscript"/>
        <sz val="11"/>
        <color theme="1"/>
        <rFont val="Yu Gothic"/>
        <family val="3"/>
        <charset val="128"/>
        <scheme val="minor"/>
      </rPr>
      <t>ow2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iw2</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2"/>
        <scheme val="minor"/>
      </rPr>
      <t>)</t>
    </r>
    <phoneticPr fontId="1"/>
  </si>
  <si>
    <r>
      <rPr>
        <i/>
        <sz val="11"/>
        <color theme="1"/>
        <rFont val="Yu Gothic"/>
        <family val="3"/>
        <charset val="128"/>
        <scheme val="minor"/>
      </rPr>
      <t>W</t>
    </r>
    <r>
      <rPr>
        <vertAlign val="subscript"/>
        <sz val="11"/>
        <color theme="1"/>
        <rFont val="Yu Gothic"/>
        <family val="3"/>
        <charset val="128"/>
        <scheme val="minor"/>
      </rPr>
      <t>dO2-1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ow2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iw2</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2"/>
        <scheme val="minor"/>
      </rPr>
      <t>)＋0.5×(</t>
    </r>
    <r>
      <rPr>
        <i/>
        <sz val="11"/>
        <color theme="1"/>
        <rFont val="Yu Gothic"/>
        <family val="3"/>
        <charset val="128"/>
        <scheme val="minor"/>
      </rPr>
      <t>G</t>
    </r>
    <r>
      <rPr>
        <vertAlign val="subscript"/>
        <sz val="11"/>
        <color theme="1"/>
        <rFont val="Yu Gothic"/>
        <family val="3"/>
        <charset val="128"/>
        <scheme val="minor"/>
      </rPr>
      <t>ow1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f</t>
    </r>
    <r>
      <rPr>
        <sz val="11"/>
        <color theme="1"/>
        <rFont val="Yu Gothic"/>
        <family val="2"/>
        <scheme val="minor"/>
      </rPr>
      <t>＋</t>
    </r>
    <r>
      <rPr>
        <i/>
        <sz val="11"/>
        <color theme="1"/>
        <rFont val="Yu Gothic"/>
        <family val="3"/>
        <charset val="128"/>
        <scheme val="minor"/>
      </rPr>
      <t>P</t>
    </r>
    <r>
      <rPr>
        <vertAlign val="subscript"/>
        <sz val="11"/>
        <color theme="1"/>
        <rFont val="Yu Gothic"/>
        <family val="3"/>
        <charset val="128"/>
        <scheme val="minor"/>
      </rPr>
      <t>1</t>
    </r>
    <r>
      <rPr>
        <sz val="11"/>
        <color theme="1"/>
        <rFont val="Yu Gothic"/>
        <family val="2"/>
        <scheme val="minor"/>
      </rPr>
      <t>）</t>
    </r>
    <phoneticPr fontId="1"/>
  </si>
  <si>
    <r>
      <rPr>
        <i/>
        <sz val="11"/>
        <color theme="1"/>
        <rFont val="Yu Gothic"/>
        <family val="3"/>
        <charset val="128"/>
        <scheme val="minor"/>
      </rPr>
      <t>W</t>
    </r>
    <r>
      <rPr>
        <vertAlign val="subscript"/>
        <sz val="11"/>
        <color theme="1"/>
        <rFont val="Yu Gothic"/>
        <family val="3"/>
        <charset val="128"/>
        <scheme val="minor"/>
      </rPr>
      <t>dI2-2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 xml:space="preserve"> ＋0.5×(</t>
    </r>
    <r>
      <rPr>
        <i/>
        <sz val="11"/>
        <color theme="1"/>
        <rFont val="Yu Gothic"/>
        <family val="3"/>
        <charset val="128"/>
        <scheme val="minor"/>
      </rPr>
      <t>G</t>
    </r>
    <r>
      <rPr>
        <vertAlign val="subscript"/>
        <sz val="11"/>
        <color theme="1"/>
        <rFont val="Yu Gothic"/>
        <family val="3"/>
        <charset val="128"/>
        <scheme val="minor"/>
      </rPr>
      <t>iw2</t>
    </r>
    <r>
      <rPr>
        <sz val="11"/>
        <color theme="1"/>
        <rFont val="Yu Gothic"/>
        <family val="2"/>
        <scheme val="minor"/>
      </rPr>
      <t>)</t>
    </r>
    <phoneticPr fontId="1"/>
  </si>
  <si>
    <r>
      <rPr>
        <i/>
        <sz val="11"/>
        <color theme="1"/>
        <rFont val="Yu Gothic"/>
        <family val="3"/>
        <charset val="128"/>
        <scheme val="minor"/>
      </rPr>
      <t>W</t>
    </r>
    <r>
      <rPr>
        <vertAlign val="subscript"/>
        <sz val="11"/>
        <color theme="1"/>
        <rFont val="Yu Gothic"/>
        <family val="3"/>
        <charset val="128"/>
        <scheme val="minor"/>
      </rPr>
      <t>dI2-1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iw2</t>
    </r>
    <r>
      <rPr>
        <sz val="11"/>
        <color theme="1"/>
        <rFont val="Yu Gothic"/>
        <family val="2"/>
        <scheme val="minor"/>
      </rPr>
      <t>)＋0.5×(</t>
    </r>
    <r>
      <rPr>
        <i/>
        <sz val="11"/>
        <color theme="1"/>
        <rFont val="Yu Gothic"/>
        <family val="3"/>
        <charset val="128"/>
        <scheme val="minor"/>
      </rPr>
      <t>G</t>
    </r>
    <r>
      <rPr>
        <vertAlign val="subscript"/>
        <sz val="11"/>
        <color theme="1"/>
        <rFont val="Yu Gothic"/>
        <family val="3"/>
        <charset val="128"/>
        <scheme val="minor"/>
      </rPr>
      <t>iw1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f</t>
    </r>
    <r>
      <rPr>
        <sz val="11"/>
        <color theme="1"/>
        <rFont val="Yu Gothic"/>
        <family val="2"/>
        <scheme val="minor"/>
      </rPr>
      <t>＋</t>
    </r>
    <r>
      <rPr>
        <i/>
        <sz val="11"/>
        <color theme="1"/>
        <rFont val="Yu Gothic"/>
        <family val="3"/>
        <charset val="128"/>
        <scheme val="minor"/>
      </rPr>
      <t>P</t>
    </r>
    <r>
      <rPr>
        <vertAlign val="subscript"/>
        <sz val="11"/>
        <color theme="1"/>
        <rFont val="Yu Gothic"/>
        <family val="3"/>
        <charset val="128"/>
        <scheme val="minor"/>
      </rPr>
      <t>1</t>
    </r>
    <r>
      <rPr>
        <sz val="11"/>
        <color theme="1"/>
        <rFont val="Yu Gothic"/>
        <family val="2"/>
        <scheme val="minor"/>
      </rPr>
      <t>）</t>
    </r>
    <phoneticPr fontId="1"/>
  </si>
  <si>
    <r>
      <rPr>
        <i/>
        <sz val="11"/>
        <color theme="1"/>
        <rFont val="Yu Gothic"/>
        <family val="3"/>
        <charset val="128"/>
        <scheme val="minor"/>
      </rPr>
      <t>W</t>
    </r>
    <r>
      <rPr>
        <vertAlign val="subscript"/>
        <sz val="11"/>
        <color theme="1"/>
        <rFont val="Yu Gothic"/>
        <family val="3"/>
        <charset val="128"/>
        <scheme val="minor"/>
      </rPr>
      <t>dO1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 xml:space="preserve"> ＋0.5×(</t>
    </r>
    <r>
      <rPr>
        <i/>
        <sz val="11"/>
        <color theme="1"/>
        <rFont val="Yu Gothic"/>
        <family val="3"/>
        <charset val="128"/>
        <scheme val="minor"/>
      </rPr>
      <t>G</t>
    </r>
    <r>
      <rPr>
        <vertAlign val="subscript"/>
        <sz val="11"/>
        <color theme="1"/>
        <rFont val="Yu Gothic"/>
        <family val="3"/>
        <charset val="128"/>
        <scheme val="minor"/>
      </rPr>
      <t>ow1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2"/>
        <scheme val="minor"/>
      </rPr>
      <t>)</t>
    </r>
    <phoneticPr fontId="1"/>
  </si>
  <si>
    <r>
      <rPr>
        <i/>
        <sz val="11"/>
        <color theme="1"/>
        <rFont val="Yu Gothic"/>
        <family val="3"/>
        <charset val="128"/>
        <scheme val="minor"/>
      </rPr>
      <t>W</t>
    </r>
    <r>
      <rPr>
        <vertAlign val="subscript"/>
        <sz val="11"/>
        <color theme="1"/>
        <rFont val="Yu Gothic"/>
        <family val="3"/>
        <charset val="128"/>
        <scheme val="minor"/>
      </rPr>
      <t>dI1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 xml:space="preserve"> ＋0.5×(</t>
    </r>
    <r>
      <rPr>
        <i/>
        <sz val="11"/>
        <color theme="1"/>
        <rFont val="Yu Gothic"/>
        <family val="3"/>
        <charset val="128"/>
        <scheme val="minor"/>
      </rPr>
      <t>G</t>
    </r>
    <r>
      <rPr>
        <vertAlign val="subscript"/>
        <sz val="11"/>
        <color theme="1"/>
        <rFont val="Yu Gothic"/>
        <family val="3"/>
        <charset val="128"/>
        <scheme val="minor"/>
      </rPr>
      <t>iw1</t>
    </r>
    <r>
      <rPr>
        <sz val="11"/>
        <color theme="1"/>
        <rFont val="Yu Gothic"/>
        <family val="2"/>
        <scheme val="minor"/>
      </rPr>
      <t>)</t>
    </r>
    <phoneticPr fontId="1"/>
  </si>
  <si>
    <r>
      <t>2階建ての2階部分の外周部の柱の単位面積あたりの負担荷重（N／m</t>
    </r>
    <r>
      <rPr>
        <vertAlign val="superscript"/>
        <sz val="11"/>
        <color theme="1"/>
        <rFont val="Yu Gothic"/>
        <family val="3"/>
        <charset val="128"/>
        <scheme val="minor"/>
      </rPr>
      <t>2</t>
    </r>
    <r>
      <rPr>
        <sz val="11"/>
        <color theme="1"/>
        <rFont val="Yu Gothic"/>
        <family val="2"/>
        <scheme val="minor"/>
      </rPr>
      <t>）</t>
    </r>
    <rPh sb="1" eb="3">
      <t>カイダ</t>
    </rPh>
    <rPh sb="6" eb="7">
      <t>カイ</t>
    </rPh>
    <rPh sb="7" eb="9">
      <t>ブブン</t>
    </rPh>
    <rPh sb="10" eb="12">
      <t>ガイシュウ</t>
    </rPh>
    <rPh sb="12" eb="13">
      <t>ブ</t>
    </rPh>
    <rPh sb="14" eb="15">
      <t>ハシラ</t>
    </rPh>
    <rPh sb="16" eb="18">
      <t>タンイ</t>
    </rPh>
    <rPh sb="18" eb="20">
      <t>メンセキ</t>
    </rPh>
    <rPh sb="24" eb="26">
      <t>フタン</t>
    </rPh>
    <rPh sb="26" eb="28">
      <t>カジュウ</t>
    </rPh>
    <phoneticPr fontId="1"/>
  </si>
  <si>
    <r>
      <t>2階建ての2階部分の内部の柱の単位面積あたりの負担荷重（N／m</t>
    </r>
    <r>
      <rPr>
        <vertAlign val="superscript"/>
        <sz val="11"/>
        <color theme="1"/>
        <rFont val="Yu Gothic"/>
        <family val="3"/>
        <charset val="128"/>
        <scheme val="minor"/>
      </rPr>
      <t>2</t>
    </r>
    <r>
      <rPr>
        <sz val="11"/>
        <color theme="1"/>
        <rFont val="Yu Gothic"/>
        <family val="2"/>
        <scheme val="minor"/>
      </rPr>
      <t>）</t>
    </r>
    <rPh sb="1" eb="3">
      <t>カイダ</t>
    </rPh>
    <rPh sb="6" eb="7">
      <t>カイ</t>
    </rPh>
    <rPh sb="7" eb="9">
      <t>ブブン</t>
    </rPh>
    <rPh sb="10" eb="12">
      <t>ナイブ</t>
    </rPh>
    <rPh sb="13" eb="14">
      <t>ハシラ</t>
    </rPh>
    <rPh sb="15" eb="17">
      <t>タンイ</t>
    </rPh>
    <rPh sb="17" eb="19">
      <t>メンセキ</t>
    </rPh>
    <rPh sb="23" eb="25">
      <t>フタン</t>
    </rPh>
    <rPh sb="25" eb="27">
      <t>カジュウ</t>
    </rPh>
    <phoneticPr fontId="1"/>
  </si>
  <si>
    <r>
      <t>2階建ての1階部分の外周部の柱の単位面積あたりの負担荷重（N／m</t>
    </r>
    <r>
      <rPr>
        <vertAlign val="superscript"/>
        <sz val="11"/>
        <color theme="1"/>
        <rFont val="Yu Gothic"/>
        <family val="3"/>
        <charset val="128"/>
        <scheme val="minor"/>
      </rPr>
      <t>2</t>
    </r>
    <r>
      <rPr>
        <sz val="11"/>
        <color theme="1"/>
        <rFont val="Yu Gothic"/>
        <family val="2"/>
        <scheme val="minor"/>
      </rPr>
      <t>）</t>
    </r>
    <rPh sb="1" eb="3">
      <t>カイダ</t>
    </rPh>
    <rPh sb="6" eb="7">
      <t>カイ</t>
    </rPh>
    <rPh sb="7" eb="9">
      <t>ブブン</t>
    </rPh>
    <rPh sb="10" eb="12">
      <t>ガイシュウ</t>
    </rPh>
    <rPh sb="12" eb="13">
      <t>ブ</t>
    </rPh>
    <rPh sb="14" eb="15">
      <t>ハシラ</t>
    </rPh>
    <rPh sb="16" eb="18">
      <t>タンイ</t>
    </rPh>
    <rPh sb="18" eb="20">
      <t>メンセキ</t>
    </rPh>
    <rPh sb="24" eb="26">
      <t>フタン</t>
    </rPh>
    <rPh sb="26" eb="28">
      <t>カジュウ</t>
    </rPh>
    <phoneticPr fontId="1"/>
  </si>
  <si>
    <r>
      <t>2階建ての1階部分の内部の柱の単位面積あたりの負担荷重（N／m</t>
    </r>
    <r>
      <rPr>
        <vertAlign val="superscript"/>
        <sz val="11"/>
        <color theme="1"/>
        <rFont val="Yu Gothic"/>
        <family val="3"/>
        <charset val="128"/>
        <scheme val="minor"/>
      </rPr>
      <t>2</t>
    </r>
    <r>
      <rPr>
        <sz val="11"/>
        <color theme="1"/>
        <rFont val="Yu Gothic"/>
        <family val="2"/>
        <scheme val="minor"/>
      </rPr>
      <t>）</t>
    </r>
    <rPh sb="1" eb="3">
      <t>カイダ</t>
    </rPh>
    <rPh sb="6" eb="7">
      <t>カイ</t>
    </rPh>
    <rPh sb="7" eb="9">
      <t>ブブン</t>
    </rPh>
    <rPh sb="10" eb="12">
      <t>ナイブ</t>
    </rPh>
    <rPh sb="13" eb="14">
      <t>ハシラ</t>
    </rPh>
    <rPh sb="15" eb="17">
      <t>タンイ</t>
    </rPh>
    <rPh sb="17" eb="19">
      <t>メンセキ</t>
    </rPh>
    <rPh sb="23" eb="25">
      <t>フタン</t>
    </rPh>
    <rPh sb="25" eb="27">
      <t>カジュウ</t>
    </rPh>
    <phoneticPr fontId="1"/>
  </si>
  <si>
    <r>
      <t>平屋建ての1階部分の外周部の柱の単位面積あたりの負担荷重（N／m</t>
    </r>
    <r>
      <rPr>
        <vertAlign val="superscript"/>
        <sz val="11"/>
        <color theme="1"/>
        <rFont val="Yu Gothic"/>
        <family val="3"/>
        <charset val="128"/>
        <scheme val="minor"/>
      </rPr>
      <t>2</t>
    </r>
    <r>
      <rPr>
        <sz val="11"/>
        <color theme="1"/>
        <rFont val="Yu Gothic"/>
        <family val="2"/>
        <scheme val="minor"/>
      </rPr>
      <t>）</t>
    </r>
    <rPh sb="0" eb="2">
      <t>ヒラヤ</t>
    </rPh>
    <rPh sb="2" eb="3">
      <t>ダ</t>
    </rPh>
    <rPh sb="6" eb="7">
      <t>カイ</t>
    </rPh>
    <rPh sb="7" eb="9">
      <t>ブブン</t>
    </rPh>
    <rPh sb="10" eb="13">
      <t>ガイシュウブ</t>
    </rPh>
    <rPh sb="14" eb="15">
      <t>ハシラ</t>
    </rPh>
    <rPh sb="16" eb="18">
      <t>タンイ</t>
    </rPh>
    <rPh sb="18" eb="20">
      <t>メンセキ</t>
    </rPh>
    <rPh sb="24" eb="26">
      <t>フタン</t>
    </rPh>
    <rPh sb="26" eb="28">
      <t>カジュウ</t>
    </rPh>
    <phoneticPr fontId="1"/>
  </si>
  <si>
    <r>
      <t>平屋建ての1階部分の内部の柱の単位面積あたりの負担荷重（N／m</t>
    </r>
    <r>
      <rPr>
        <vertAlign val="superscript"/>
        <sz val="11"/>
        <color theme="1"/>
        <rFont val="Yu Gothic"/>
        <family val="3"/>
        <charset val="128"/>
        <scheme val="minor"/>
      </rPr>
      <t>2</t>
    </r>
    <r>
      <rPr>
        <sz val="11"/>
        <color theme="1"/>
        <rFont val="Yu Gothic"/>
        <family val="2"/>
        <scheme val="minor"/>
      </rPr>
      <t>）</t>
    </r>
    <rPh sb="0" eb="2">
      <t>ヒラヤ</t>
    </rPh>
    <rPh sb="2" eb="3">
      <t>ダ</t>
    </rPh>
    <rPh sb="6" eb="7">
      <t>カイ</t>
    </rPh>
    <rPh sb="7" eb="9">
      <t>ブブン</t>
    </rPh>
    <rPh sb="10" eb="12">
      <t>ナイブ</t>
    </rPh>
    <rPh sb="13" eb="14">
      <t>ハシラ</t>
    </rPh>
    <rPh sb="15" eb="17">
      <t>タンイ</t>
    </rPh>
    <rPh sb="17" eb="19">
      <t>メンセキ</t>
    </rPh>
    <rPh sb="23" eb="25">
      <t>フタン</t>
    </rPh>
    <rPh sb="25" eb="27">
      <t>カジュウ</t>
    </rPh>
    <phoneticPr fontId="1"/>
  </si>
  <si>
    <r>
      <t>柱の負担可能面積（㎜</t>
    </r>
    <r>
      <rPr>
        <vertAlign val="superscript"/>
        <sz val="11"/>
        <color theme="1"/>
        <rFont val="Yu Gothic"/>
        <family val="3"/>
        <charset val="128"/>
        <scheme val="minor"/>
      </rPr>
      <t>2</t>
    </r>
    <r>
      <rPr>
        <sz val="11"/>
        <color theme="1"/>
        <rFont val="Yu Gothic"/>
        <family val="2"/>
        <scheme val="minor"/>
      </rPr>
      <t>）</t>
    </r>
    <rPh sb="0" eb="1">
      <t>ハシラ</t>
    </rPh>
    <rPh sb="2" eb="4">
      <t>フタン</t>
    </rPh>
    <rPh sb="4" eb="6">
      <t>カノウ</t>
    </rPh>
    <rPh sb="6" eb="8">
      <t>メンセキ</t>
    </rPh>
    <phoneticPr fontId="1"/>
  </si>
  <si>
    <r>
      <t>柱の軸部の断面積（㎜</t>
    </r>
    <r>
      <rPr>
        <vertAlign val="superscript"/>
        <sz val="11"/>
        <color theme="1"/>
        <rFont val="Yu Gothic"/>
        <family val="3"/>
        <charset val="128"/>
        <scheme val="minor"/>
      </rPr>
      <t>2</t>
    </r>
    <r>
      <rPr>
        <sz val="11"/>
        <color theme="1"/>
        <rFont val="Yu Gothic"/>
        <family val="2"/>
        <scheme val="minor"/>
      </rPr>
      <t>）</t>
    </r>
    <rPh sb="0" eb="1">
      <t>ハシラ</t>
    </rPh>
    <rPh sb="2" eb="3">
      <t>ジク</t>
    </rPh>
    <rPh sb="3" eb="4">
      <t>ブ</t>
    </rPh>
    <rPh sb="5" eb="8">
      <t>ダンメンセキ</t>
    </rPh>
    <phoneticPr fontId="1"/>
  </si>
  <si>
    <r>
      <t>W</t>
    </r>
    <r>
      <rPr>
        <i/>
        <vertAlign val="subscript"/>
        <sz val="11"/>
        <color theme="1"/>
        <rFont val="Yu Gothic"/>
        <family val="3"/>
        <charset val="128"/>
        <scheme val="minor"/>
      </rPr>
      <t xml:space="preserve">0 </t>
    </r>
    <phoneticPr fontId="1"/>
  </si>
  <si>
    <r>
      <t>径比が</t>
    </r>
    <r>
      <rPr>
        <sz val="10"/>
        <color theme="1"/>
        <rFont val="Times New Roman"/>
        <family val="1"/>
      </rPr>
      <t>40%</t>
    </r>
    <r>
      <rPr>
        <sz val="10"/>
        <color theme="1"/>
        <rFont val="ＭＳ 明朝"/>
        <family val="1"/>
        <charset val="128"/>
      </rPr>
      <t>以下であり、かつ、集中径比が</t>
    </r>
    <r>
      <rPr>
        <sz val="10"/>
        <color theme="1"/>
        <rFont val="Times New Roman"/>
        <family val="1"/>
      </rPr>
      <t>60%</t>
    </r>
    <r>
      <rPr>
        <sz val="10"/>
        <color theme="1"/>
        <rFont val="ＭＳ 明朝"/>
        <family val="1"/>
        <charset val="128"/>
      </rPr>
      <t>以下であること。</t>
    </r>
  </si>
  <si>
    <r>
      <t>20%</t>
    </r>
    <r>
      <rPr>
        <sz val="10"/>
        <color theme="1"/>
        <rFont val="ＭＳ 明朝"/>
        <family val="1"/>
        <charset val="128"/>
      </rPr>
      <t>以下であり、かつ、</t>
    </r>
    <r>
      <rPr>
        <sz val="10"/>
        <color theme="1"/>
        <rFont val="Times New Roman"/>
        <family val="1"/>
      </rPr>
      <t>1</t>
    </r>
    <r>
      <rPr>
        <sz val="10"/>
        <color theme="1"/>
        <rFont val="ＭＳ 明朝"/>
        <family val="1"/>
        <charset val="128"/>
      </rPr>
      <t>角においては</t>
    </r>
    <r>
      <rPr>
        <sz val="10"/>
        <color theme="1"/>
        <rFont val="Times New Roman"/>
        <family val="1"/>
      </rPr>
      <t>10%</t>
    </r>
    <r>
      <rPr>
        <sz val="10"/>
        <color theme="1"/>
        <rFont val="ＭＳ 明朝"/>
        <family val="1"/>
        <charset val="128"/>
      </rPr>
      <t>以下であること。</t>
    </r>
  </si>
  <si>
    <r>
      <t>10%</t>
    </r>
    <r>
      <rPr>
        <sz val="10"/>
        <color theme="1"/>
        <rFont val="ＭＳ 明朝"/>
        <family val="1"/>
        <charset val="128"/>
      </rPr>
      <t>以下であること。</t>
    </r>
  </si>
  <si>
    <r>
      <t>80mm</t>
    </r>
    <r>
      <rPr>
        <sz val="10"/>
        <color theme="1"/>
        <rFont val="ＭＳ 明朝"/>
        <family val="1"/>
        <charset val="128"/>
      </rPr>
      <t>以下であること。</t>
    </r>
  </si>
  <si>
    <r>
      <t>人工乾燥を施した旨の表示がしてあるものにあっては、別記</t>
    </r>
    <r>
      <rPr>
        <sz val="10"/>
        <color theme="1"/>
        <rFont val="Times New Roman"/>
        <family val="1"/>
      </rPr>
      <t>2</t>
    </r>
    <r>
      <rPr>
        <sz val="10"/>
        <color theme="1"/>
        <rFont val="ＭＳ 明朝"/>
        <family val="1"/>
        <charset val="128"/>
      </rPr>
      <t>の</t>
    </r>
    <r>
      <rPr>
        <sz val="10"/>
        <color theme="1"/>
        <rFont val="Times New Roman"/>
        <family val="1"/>
      </rPr>
      <t>(</t>
    </r>
    <r>
      <rPr>
        <sz val="10"/>
        <color theme="1"/>
        <rFont val="ＭＳ 明朝"/>
        <family val="1"/>
        <charset val="128"/>
      </rPr>
      <t>3</t>
    </r>
    <r>
      <rPr>
        <sz val="10"/>
        <color theme="1"/>
        <rFont val="Times New Roman"/>
        <family val="1"/>
      </rPr>
      <t>)</t>
    </r>
    <r>
      <rPr>
        <sz val="10"/>
        <color theme="1"/>
        <rFont val="ＭＳ 明朝"/>
        <family val="1"/>
        <charset val="128"/>
      </rPr>
      <t>の含水率試験※に合格すること。</t>
    </r>
    <phoneticPr fontId="1"/>
  </si>
  <si>
    <r>
      <t>・表計算ツールの解説・注意事項の1－2（２）の本文に「図1－2は1階の2階の面積比率に応じて、1階の下屋を含む場合、含まない場合に分かれるので1階と2階の面積の最大値とした。」を追記しました。
・また、オーバーハングを想定に含めるため、「Σw</t>
    </r>
    <r>
      <rPr>
        <vertAlign val="subscript"/>
        <sz val="11"/>
        <color theme="1"/>
        <rFont val="Yu Gothic"/>
        <family val="3"/>
        <charset val="128"/>
        <scheme val="minor"/>
      </rPr>
      <t>2-1</t>
    </r>
    <r>
      <rPr>
        <sz val="11"/>
        <color theme="1"/>
        <rFont val="Yu Gothic"/>
        <family val="2"/>
        <scheme val="minor"/>
      </rPr>
      <t>＝（G</t>
    </r>
    <r>
      <rPr>
        <vertAlign val="subscript"/>
        <sz val="11"/>
        <color theme="1"/>
        <rFont val="Yu Gothic"/>
        <family val="3"/>
        <charset val="128"/>
        <scheme val="minor"/>
      </rPr>
      <t>1</t>
    </r>
    <r>
      <rPr>
        <sz val="11"/>
        <color theme="1"/>
        <rFont val="Yu Gothic"/>
        <family val="2"/>
        <scheme val="minor"/>
      </rPr>
      <t>＋D</t>
    </r>
    <r>
      <rPr>
        <vertAlign val="subscript"/>
        <sz val="11"/>
        <color theme="1"/>
        <rFont val="Yu Gothic"/>
        <family val="3"/>
        <charset val="128"/>
        <scheme val="minor"/>
      </rPr>
      <t>1</t>
    </r>
    <r>
      <rPr>
        <sz val="11"/>
        <color theme="1"/>
        <rFont val="Yu Gothic"/>
        <family val="2"/>
        <scheme val="minor"/>
      </rPr>
      <t>＋D</t>
    </r>
    <r>
      <rPr>
        <vertAlign val="subscript"/>
        <sz val="11"/>
        <color theme="1"/>
        <rFont val="Yu Gothic"/>
        <family val="3"/>
        <charset val="128"/>
        <scheme val="minor"/>
      </rPr>
      <t>2</t>
    </r>
    <r>
      <rPr>
        <sz val="11"/>
        <color theme="1"/>
        <rFont val="Yu Gothic"/>
        <family val="2"/>
        <scheme val="minor"/>
      </rPr>
      <t>）×</t>
    </r>
    <r>
      <rPr>
        <sz val="11"/>
        <color rgb="FFFF0000"/>
        <rFont val="Yu Gothic"/>
        <family val="3"/>
        <charset val="128"/>
        <scheme val="minor"/>
      </rPr>
      <t>A</t>
    </r>
    <r>
      <rPr>
        <vertAlign val="subscript"/>
        <sz val="11"/>
        <color rgb="FFFF0000"/>
        <rFont val="Yu Gothic"/>
        <family val="3"/>
        <charset val="128"/>
        <scheme val="minor"/>
      </rPr>
      <t>f1</t>
    </r>
    <r>
      <rPr>
        <sz val="11"/>
        <color theme="1"/>
        <rFont val="Yu Gothic"/>
        <family val="2"/>
        <scheme val="minor"/>
      </rPr>
      <t>＋(G</t>
    </r>
    <r>
      <rPr>
        <vertAlign val="subscript"/>
        <sz val="11"/>
        <color theme="1"/>
        <rFont val="Yu Gothic"/>
        <family val="3"/>
        <charset val="128"/>
        <scheme val="minor"/>
      </rPr>
      <t>2</t>
    </r>
    <r>
      <rPr>
        <sz val="11"/>
        <color theme="1"/>
        <rFont val="Yu Gothic"/>
        <family val="2"/>
        <scheme val="minor"/>
      </rPr>
      <t>＋G</t>
    </r>
    <r>
      <rPr>
        <vertAlign val="subscript"/>
        <sz val="11"/>
        <color theme="1"/>
        <rFont val="Yu Gothic"/>
        <family val="3"/>
        <charset val="128"/>
        <scheme val="minor"/>
      </rPr>
      <t>3</t>
    </r>
    <r>
      <rPr>
        <sz val="11"/>
        <color theme="1"/>
        <rFont val="Yu Gothic"/>
        <family val="2"/>
        <scheme val="minor"/>
      </rPr>
      <t>＋D</t>
    </r>
    <r>
      <rPr>
        <vertAlign val="subscript"/>
        <sz val="11"/>
        <color theme="1"/>
        <rFont val="Yu Gothic"/>
        <family val="3"/>
        <charset val="128"/>
        <scheme val="minor"/>
      </rPr>
      <t>3</t>
    </r>
    <r>
      <rPr>
        <sz val="11"/>
        <color theme="1"/>
        <rFont val="Yu Gothic"/>
        <family val="2"/>
        <scheme val="minor"/>
      </rPr>
      <t>＋D</t>
    </r>
    <r>
      <rPr>
        <vertAlign val="subscript"/>
        <sz val="11"/>
        <color theme="1"/>
        <rFont val="Yu Gothic"/>
        <family val="3"/>
        <charset val="128"/>
        <scheme val="minor"/>
      </rPr>
      <t>4</t>
    </r>
    <r>
      <rPr>
        <sz val="11"/>
        <color theme="1"/>
        <rFont val="Yu Gothic"/>
        <family val="2"/>
        <scheme val="minor"/>
      </rPr>
      <t>)×A</t>
    </r>
    <r>
      <rPr>
        <vertAlign val="subscript"/>
        <sz val="11"/>
        <color theme="1"/>
        <rFont val="Yu Gothic"/>
        <family val="3"/>
        <charset val="128"/>
        <scheme val="minor"/>
      </rPr>
      <t>f2</t>
    </r>
    <r>
      <rPr>
        <sz val="11"/>
        <color theme="1"/>
        <rFont val="Yu Gothic"/>
        <family val="2"/>
        <scheme val="minor"/>
      </rPr>
      <t>＋0.5×(G</t>
    </r>
    <r>
      <rPr>
        <vertAlign val="subscript"/>
        <sz val="11"/>
        <color theme="1"/>
        <rFont val="Yu Gothic"/>
        <family val="3"/>
        <charset val="128"/>
        <scheme val="minor"/>
      </rPr>
      <t>2</t>
    </r>
    <r>
      <rPr>
        <sz val="11"/>
        <color theme="1"/>
        <rFont val="Yu Gothic"/>
        <family val="2"/>
        <scheme val="minor"/>
      </rPr>
      <t>＋G</t>
    </r>
    <r>
      <rPr>
        <vertAlign val="subscript"/>
        <sz val="11"/>
        <color theme="1"/>
        <rFont val="Yu Gothic"/>
        <family val="3"/>
        <charset val="128"/>
        <scheme val="minor"/>
      </rPr>
      <t>3</t>
    </r>
    <r>
      <rPr>
        <sz val="11"/>
        <color theme="1"/>
        <rFont val="Yu Gothic"/>
        <family val="2"/>
        <scheme val="minor"/>
      </rPr>
      <t>＋D</t>
    </r>
    <r>
      <rPr>
        <vertAlign val="subscript"/>
        <sz val="11"/>
        <color theme="1"/>
        <rFont val="Yu Gothic"/>
        <family val="3"/>
        <charset val="128"/>
        <scheme val="minor"/>
      </rPr>
      <t>3</t>
    </r>
    <r>
      <rPr>
        <sz val="11"/>
        <color theme="1"/>
        <rFont val="Yu Gothic"/>
        <family val="2"/>
        <scheme val="minor"/>
      </rPr>
      <t>＋D</t>
    </r>
    <r>
      <rPr>
        <vertAlign val="subscript"/>
        <sz val="11"/>
        <color theme="1"/>
        <rFont val="Yu Gothic"/>
        <family val="3"/>
        <charset val="128"/>
        <scheme val="minor"/>
      </rPr>
      <t>4</t>
    </r>
    <r>
      <rPr>
        <sz val="11"/>
        <color theme="1"/>
        <rFont val="Yu Gothic"/>
        <family val="2"/>
        <scheme val="minor"/>
      </rPr>
      <t>)×A</t>
    </r>
    <r>
      <rPr>
        <vertAlign val="subscript"/>
        <sz val="11"/>
        <color theme="1"/>
        <rFont val="Yu Gothic"/>
        <family val="3"/>
        <charset val="128"/>
        <scheme val="minor"/>
      </rPr>
      <t>f1</t>
    </r>
    <r>
      <rPr>
        <sz val="11"/>
        <color theme="1"/>
        <rFont val="Yu Gothic"/>
        <family val="2"/>
        <scheme val="minor"/>
      </rPr>
      <t>＋（G</t>
    </r>
    <r>
      <rPr>
        <vertAlign val="subscript"/>
        <sz val="11"/>
        <color theme="1"/>
        <rFont val="Yu Gothic"/>
        <family val="3"/>
        <charset val="128"/>
        <scheme val="minor"/>
      </rPr>
      <t>4</t>
    </r>
    <r>
      <rPr>
        <sz val="11"/>
        <color theme="1"/>
        <rFont val="Yu Gothic"/>
        <family val="2"/>
        <scheme val="minor"/>
      </rPr>
      <t>＋P</t>
    </r>
    <r>
      <rPr>
        <vertAlign val="subscript"/>
        <sz val="11"/>
        <color theme="1"/>
        <rFont val="Yu Gothic"/>
        <family val="3"/>
        <charset val="128"/>
        <scheme val="minor"/>
      </rPr>
      <t>1</t>
    </r>
    <r>
      <rPr>
        <sz val="11"/>
        <color theme="1"/>
        <rFont val="Yu Gothic"/>
        <family val="2"/>
        <scheme val="minor"/>
      </rPr>
      <t>）×A</t>
    </r>
    <r>
      <rPr>
        <vertAlign val="subscript"/>
        <sz val="11"/>
        <color theme="1"/>
        <rFont val="Yu Gothic"/>
        <family val="3"/>
        <charset val="128"/>
        <scheme val="minor"/>
      </rPr>
      <t>f2</t>
    </r>
    <r>
      <rPr>
        <sz val="11"/>
        <color theme="1"/>
        <rFont val="Yu Gothic"/>
        <family val="2"/>
        <scheme val="minor"/>
      </rPr>
      <t>」を「Σw</t>
    </r>
    <r>
      <rPr>
        <vertAlign val="subscript"/>
        <sz val="11"/>
        <color theme="1"/>
        <rFont val="Yu Gothic"/>
        <family val="3"/>
        <charset val="128"/>
        <scheme val="minor"/>
      </rPr>
      <t>2-1</t>
    </r>
    <r>
      <rPr>
        <sz val="11"/>
        <color theme="1"/>
        <rFont val="Yu Gothic"/>
        <family val="2"/>
        <scheme val="minor"/>
      </rPr>
      <t>＝（G</t>
    </r>
    <r>
      <rPr>
        <vertAlign val="subscript"/>
        <sz val="11"/>
        <color theme="1"/>
        <rFont val="Yu Gothic"/>
        <family val="3"/>
        <charset val="128"/>
        <scheme val="minor"/>
      </rPr>
      <t>1</t>
    </r>
    <r>
      <rPr>
        <sz val="11"/>
        <color theme="1"/>
        <rFont val="Yu Gothic"/>
        <family val="2"/>
        <scheme val="minor"/>
      </rPr>
      <t>＋D</t>
    </r>
    <r>
      <rPr>
        <vertAlign val="subscript"/>
        <sz val="11"/>
        <color theme="1"/>
        <rFont val="Yu Gothic"/>
        <family val="3"/>
        <charset val="128"/>
        <scheme val="minor"/>
      </rPr>
      <t>1</t>
    </r>
    <r>
      <rPr>
        <sz val="11"/>
        <color theme="1"/>
        <rFont val="Yu Gothic"/>
        <family val="2"/>
        <scheme val="minor"/>
      </rPr>
      <t>＋D</t>
    </r>
    <r>
      <rPr>
        <vertAlign val="subscript"/>
        <sz val="11"/>
        <color theme="1"/>
        <rFont val="Yu Gothic"/>
        <family val="3"/>
        <charset val="128"/>
        <scheme val="minor"/>
      </rPr>
      <t>2</t>
    </r>
    <r>
      <rPr>
        <sz val="11"/>
        <color theme="1"/>
        <rFont val="Yu Gothic"/>
        <family val="2"/>
        <scheme val="minor"/>
      </rPr>
      <t>）×</t>
    </r>
    <r>
      <rPr>
        <sz val="11"/>
        <color rgb="FFFF0000"/>
        <rFont val="Yu Gothic"/>
        <family val="3"/>
        <charset val="128"/>
        <scheme val="minor"/>
      </rPr>
      <t>max(A</t>
    </r>
    <r>
      <rPr>
        <vertAlign val="subscript"/>
        <sz val="11"/>
        <color rgb="FFFF0000"/>
        <rFont val="Yu Gothic"/>
        <family val="3"/>
        <charset val="128"/>
        <scheme val="minor"/>
      </rPr>
      <t>f1</t>
    </r>
    <r>
      <rPr>
        <sz val="11"/>
        <color rgb="FFFF0000"/>
        <rFont val="Yu Gothic"/>
        <family val="3"/>
        <charset val="128"/>
        <scheme val="minor"/>
      </rPr>
      <t>,A</t>
    </r>
    <r>
      <rPr>
        <vertAlign val="subscript"/>
        <sz val="11"/>
        <color rgb="FFFF0000"/>
        <rFont val="Yu Gothic"/>
        <family val="3"/>
        <charset val="128"/>
        <scheme val="minor"/>
      </rPr>
      <t>f2</t>
    </r>
    <r>
      <rPr>
        <sz val="11"/>
        <color rgb="FFFF0000"/>
        <rFont val="Yu Gothic"/>
        <family val="3"/>
        <charset val="128"/>
        <scheme val="minor"/>
      </rPr>
      <t>)</t>
    </r>
    <r>
      <rPr>
        <sz val="11"/>
        <color theme="1"/>
        <rFont val="Yu Gothic"/>
        <family val="2"/>
        <scheme val="minor"/>
      </rPr>
      <t>＋(G</t>
    </r>
    <r>
      <rPr>
        <vertAlign val="subscript"/>
        <sz val="11"/>
        <color theme="1"/>
        <rFont val="Yu Gothic"/>
        <family val="3"/>
        <charset val="128"/>
        <scheme val="minor"/>
      </rPr>
      <t>2</t>
    </r>
    <r>
      <rPr>
        <sz val="11"/>
        <color theme="1"/>
        <rFont val="Yu Gothic"/>
        <family val="2"/>
        <scheme val="minor"/>
      </rPr>
      <t>＋G</t>
    </r>
    <r>
      <rPr>
        <vertAlign val="subscript"/>
        <sz val="11"/>
        <color theme="1"/>
        <rFont val="Yu Gothic"/>
        <family val="3"/>
        <charset val="128"/>
        <scheme val="minor"/>
      </rPr>
      <t>3</t>
    </r>
    <r>
      <rPr>
        <sz val="11"/>
        <color theme="1"/>
        <rFont val="Yu Gothic"/>
        <family val="2"/>
        <scheme val="minor"/>
      </rPr>
      <t>＋D</t>
    </r>
    <r>
      <rPr>
        <vertAlign val="subscript"/>
        <sz val="11"/>
        <color theme="1"/>
        <rFont val="Yu Gothic"/>
        <family val="3"/>
        <charset val="128"/>
        <scheme val="minor"/>
      </rPr>
      <t>3</t>
    </r>
    <r>
      <rPr>
        <sz val="11"/>
        <color theme="1"/>
        <rFont val="Yu Gothic"/>
        <family val="2"/>
        <scheme val="minor"/>
      </rPr>
      <t>＋D</t>
    </r>
    <r>
      <rPr>
        <vertAlign val="subscript"/>
        <sz val="11"/>
        <color theme="1"/>
        <rFont val="Yu Gothic"/>
        <family val="3"/>
        <charset val="128"/>
        <scheme val="minor"/>
      </rPr>
      <t>4</t>
    </r>
    <r>
      <rPr>
        <sz val="11"/>
        <color theme="1"/>
        <rFont val="Yu Gothic"/>
        <family val="2"/>
        <scheme val="minor"/>
      </rPr>
      <t>)×A</t>
    </r>
    <r>
      <rPr>
        <vertAlign val="subscript"/>
        <sz val="11"/>
        <color theme="1"/>
        <rFont val="Yu Gothic"/>
        <family val="3"/>
        <charset val="128"/>
        <scheme val="minor"/>
      </rPr>
      <t>f2</t>
    </r>
    <r>
      <rPr>
        <sz val="11"/>
        <color theme="1"/>
        <rFont val="Yu Gothic"/>
        <family val="2"/>
        <scheme val="minor"/>
      </rPr>
      <t>＋0.5×(G</t>
    </r>
    <r>
      <rPr>
        <vertAlign val="subscript"/>
        <sz val="11"/>
        <color theme="1"/>
        <rFont val="Yu Gothic"/>
        <family val="3"/>
        <charset val="128"/>
        <scheme val="minor"/>
      </rPr>
      <t>2</t>
    </r>
    <r>
      <rPr>
        <sz val="11"/>
        <color theme="1"/>
        <rFont val="Yu Gothic"/>
        <family val="2"/>
        <scheme val="minor"/>
      </rPr>
      <t>＋G</t>
    </r>
    <r>
      <rPr>
        <vertAlign val="subscript"/>
        <sz val="11"/>
        <color theme="1"/>
        <rFont val="Yu Gothic"/>
        <family val="3"/>
        <charset val="128"/>
        <scheme val="minor"/>
      </rPr>
      <t>3</t>
    </r>
    <r>
      <rPr>
        <sz val="11"/>
        <color theme="1"/>
        <rFont val="Yu Gothic"/>
        <family val="2"/>
        <scheme val="minor"/>
      </rPr>
      <t>＋D</t>
    </r>
    <r>
      <rPr>
        <vertAlign val="subscript"/>
        <sz val="11"/>
        <color theme="1"/>
        <rFont val="Yu Gothic"/>
        <family val="3"/>
        <charset val="128"/>
        <scheme val="minor"/>
      </rPr>
      <t>3</t>
    </r>
    <r>
      <rPr>
        <sz val="11"/>
        <color theme="1"/>
        <rFont val="Yu Gothic"/>
        <family val="2"/>
        <scheme val="minor"/>
      </rPr>
      <t>＋D</t>
    </r>
    <r>
      <rPr>
        <vertAlign val="subscript"/>
        <sz val="11"/>
        <color theme="1"/>
        <rFont val="Yu Gothic"/>
        <family val="3"/>
        <charset val="128"/>
        <scheme val="minor"/>
      </rPr>
      <t>4</t>
    </r>
    <r>
      <rPr>
        <sz val="11"/>
        <color theme="1"/>
        <rFont val="Yu Gothic"/>
        <family val="2"/>
        <scheme val="minor"/>
      </rPr>
      <t>)×A</t>
    </r>
    <r>
      <rPr>
        <vertAlign val="subscript"/>
        <sz val="11"/>
        <color theme="1"/>
        <rFont val="Yu Gothic"/>
        <family val="3"/>
        <charset val="128"/>
        <scheme val="minor"/>
      </rPr>
      <t>f1</t>
    </r>
    <r>
      <rPr>
        <sz val="11"/>
        <color theme="1"/>
        <rFont val="Yu Gothic"/>
        <family val="2"/>
        <scheme val="minor"/>
      </rPr>
      <t>＋（G</t>
    </r>
    <r>
      <rPr>
        <vertAlign val="subscript"/>
        <sz val="11"/>
        <color theme="1"/>
        <rFont val="Yu Gothic"/>
        <family val="3"/>
        <charset val="128"/>
        <scheme val="minor"/>
      </rPr>
      <t>4</t>
    </r>
    <r>
      <rPr>
        <sz val="11"/>
        <color theme="1"/>
        <rFont val="Yu Gothic"/>
        <family val="2"/>
        <scheme val="minor"/>
      </rPr>
      <t>＋P</t>
    </r>
    <r>
      <rPr>
        <vertAlign val="subscript"/>
        <sz val="11"/>
        <color theme="1"/>
        <rFont val="Yu Gothic"/>
        <family val="3"/>
        <charset val="128"/>
        <scheme val="minor"/>
      </rPr>
      <t>1</t>
    </r>
    <r>
      <rPr>
        <sz val="11"/>
        <color theme="1"/>
        <rFont val="Yu Gothic"/>
        <family val="2"/>
        <scheme val="minor"/>
      </rPr>
      <t>）×A</t>
    </r>
    <r>
      <rPr>
        <vertAlign val="subscript"/>
        <sz val="11"/>
        <color theme="1"/>
        <rFont val="Yu Gothic"/>
        <family val="3"/>
        <charset val="128"/>
        <scheme val="minor"/>
      </rPr>
      <t>f2</t>
    </r>
    <r>
      <rPr>
        <sz val="11"/>
        <color theme="1"/>
        <rFont val="Yu Gothic"/>
        <family val="2"/>
        <scheme val="minor"/>
      </rPr>
      <t>」に修正しました。
・上記に伴い、図1-2中、「（G</t>
    </r>
    <r>
      <rPr>
        <vertAlign val="subscript"/>
        <sz val="11"/>
        <color theme="1"/>
        <rFont val="Yu Gothic"/>
        <family val="3"/>
        <charset val="128"/>
        <scheme val="minor"/>
      </rPr>
      <t>1</t>
    </r>
    <r>
      <rPr>
        <sz val="11"/>
        <color theme="1"/>
        <rFont val="Yu Gothic"/>
        <family val="2"/>
        <scheme val="minor"/>
      </rPr>
      <t>＋D</t>
    </r>
    <r>
      <rPr>
        <vertAlign val="subscript"/>
        <sz val="11"/>
        <color theme="1"/>
        <rFont val="Yu Gothic"/>
        <family val="3"/>
        <charset val="128"/>
        <scheme val="minor"/>
      </rPr>
      <t>1</t>
    </r>
    <r>
      <rPr>
        <sz val="11"/>
        <color theme="1"/>
        <rFont val="Yu Gothic"/>
        <family val="2"/>
        <scheme val="minor"/>
      </rPr>
      <t>＋D</t>
    </r>
    <r>
      <rPr>
        <vertAlign val="subscript"/>
        <sz val="11"/>
        <color theme="1"/>
        <rFont val="Yu Gothic"/>
        <family val="3"/>
        <charset val="128"/>
        <scheme val="minor"/>
      </rPr>
      <t>2</t>
    </r>
    <r>
      <rPr>
        <sz val="11"/>
        <color theme="1"/>
        <rFont val="Yu Gothic"/>
        <family val="2"/>
        <scheme val="minor"/>
      </rPr>
      <t>）×</t>
    </r>
    <r>
      <rPr>
        <sz val="11"/>
        <color rgb="FFFF0000"/>
        <rFont val="Yu Gothic"/>
        <family val="3"/>
        <charset val="128"/>
        <scheme val="minor"/>
      </rPr>
      <t>A</t>
    </r>
    <r>
      <rPr>
        <vertAlign val="subscript"/>
        <sz val="11"/>
        <color rgb="FFFF0000"/>
        <rFont val="Yu Gothic"/>
        <family val="3"/>
        <charset val="128"/>
        <scheme val="minor"/>
      </rPr>
      <t>f1</t>
    </r>
    <r>
      <rPr>
        <sz val="11"/>
        <color theme="1"/>
        <rFont val="Yu Gothic"/>
        <family val="2"/>
        <scheme val="minor"/>
      </rPr>
      <t>」を「（G</t>
    </r>
    <r>
      <rPr>
        <vertAlign val="subscript"/>
        <sz val="11"/>
        <color theme="1"/>
        <rFont val="Yu Gothic"/>
        <family val="3"/>
        <charset val="128"/>
        <scheme val="minor"/>
      </rPr>
      <t>1</t>
    </r>
    <r>
      <rPr>
        <sz val="11"/>
        <color theme="1"/>
        <rFont val="Yu Gothic"/>
        <family val="2"/>
        <scheme val="minor"/>
      </rPr>
      <t>＋D</t>
    </r>
    <r>
      <rPr>
        <vertAlign val="subscript"/>
        <sz val="11"/>
        <color theme="1"/>
        <rFont val="Yu Gothic"/>
        <family val="3"/>
        <charset val="128"/>
        <scheme val="minor"/>
      </rPr>
      <t>1</t>
    </r>
    <r>
      <rPr>
        <sz val="11"/>
        <color theme="1"/>
        <rFont val="Yu Gothic"/>
        <family val="2"/>
        <scheme val="minor"/>
      </rPr>
      <t>＋D</t>
    </r>
    <r>
      <rPr>
        <vertAlign val="subscript"/>
        <sz val="11"/>
        <color theme="1"/>
        <rFont val="Yu Gothic"/>
        <family val="3"/>
        <charset val="128"/>
        <scheme val="minor"/>
      </rPr>
      <t>2</t>
    </r>
    <r>
      <rPr>
        <sz val="11"/>
        <color theme="1"/>
        <rFont val="Yu Gothic"/>
        <family val="2"/>
        <scheme val="minor"/>
      </rPr>
      <t>）×</t>
    </r>
    <r>
      <rPr>
        <sz val="11"/>
        <color rgb="FFFF0000"/>
        <rFont val="Yu Gothic"/>
        <family val="3"/>
        <charset val="128"/>
        <scheme val="minor"/>
      </rPr>
      <t>max(A</t>
    </r>
    <r>
      <rPr>
        <vertAlign val="subscript"/>
        <sz val="11"/>
        <color rgb="FFFF0000"/>
        <rFont val="Yu Gothic"/>
        <family val="3"/>
        <charset val="128"/>
        <scheme val="minor"/>
      </rPr>
      <t>f1</t>
    </r>
    <r>
      <rPr>
        <sz val="11"/>
        <color rgb="FFFF0000"/>
        <rFont val="Yu Gothic"/>
        <family val="3"/>
        <charset val="128"/>
        <scheme val="minor"/>
      </rPr>
      <t>,A</t>
    </r>
    <r>
      <rPr>
        <vertAlign val="subscript"/>
        <sz val="11"/>
        <color rgb="FFFF0000"/>
        <rFont val="Yu Gothic"/>
        <family val="3"/>
        <charset val="128"/>
        <scheme val="minor"/>
      </rPr>
      <t>f2</t>
    </r>
    <r>
      <rPr>
        <sz val="11"/>
        <color rgb="FFFF0000"/>
        <rFont val="Yu Gothic"/>
        <family val="3"/>
        <charset val="128"/>
        <scheme val="minor"/>
      </rPr>
      <t>)</t>
    </r>
    <r>
      <rPr>
        <sz val="11"/>
        <color theme="1"/>
        <rFont val="Yu Gothic"/>
        <family val="2"/>
        <scheme val="minor"/>
      </rPr>
      <t>」に変更しました。
・なお、G</t>
    </r>
    <r>
      <rPr>
        <vertAlign val="subscript"/>
        <sz val="11"/>
        <color theme="1"/>
        <rFont val="Yu Gothic"/>
        <family val="3"/>
        <charset val="128"/>
        <scheme val="minor"/>
      </rPr>
      <t>1</t>
    </r>
    <r>
      <rPr>
        <sz val="11"/>
        <color theme="1"/>
        <rFont val="Yu Gothic"/>
        <family val="2"/>
        <scheme val="minor"/>
      </rPr>
      <t>～G</t>
    </r>
    <r>
      <rPr>
        <vertAlign val="subscript"/>
        <sz val="11"/>
        <color theme="1"/>
        <rFont val="Yu Gothic"/>
        <family val="3"/>
        <charset val="128"/>
        <scheme val="minor"/>
      </rPr>
      <t>4</t>
    </r>
    <r>
      <rPr>
        <sz val="11"/>
        <color theme="1"/>
        <rFont val="Yu Gothic"/>
        <family val="2"/>
        <scheme val="minor"/>
      </rPr>
      <t>までの記号をG</t>
    </r>
    <r>
      <rPr>
        <vertAlign val="subscript"/>
        <sz val="11"/>
        <color theme="1"/>
        <rFont val="Yu Gothic"/>
        <family val="3"/>
        <charset val="128"/>
        <scheme val="minor"/>
      </rPr>
      <t>r</t>
    </r>
    <r>
      <rPr>
        <sz val="11"/>
        <color theme="1"/>
        <rFont val="Yu Gothic"/>
        <family val="2"/>
        <scheme val="minor"/>
      </rPr>
      <t>,G</t>
    </r>
    <r>
      <rPr>
        <vertAlign val="subscript"/>
        <sz val="11"/>
        <color theme="1"/>
        <rFont val="Yu Gothic"/>
        <family val="3"/>
        <charset val="128"/>
        <scheme val="minor"/>
      </rPr>
      <t>o</t>
    </r>
    <r>
      <rPr>
        <sz val="11"/>
        <color theme="1"/>
        <rFont val="Yu Gothic"/>
        <family val="2"/>
        <scheme val="minor"/>
      </rPr>
      <t>,G</t>
    </r>
    <r>
      <rPr>
        <vertAlign val="subscript"/>
        <sz val="11"/>
        <color theme="1"/>
        <rFont val="Yu Gothic"/>
        <family val="3"/>
        <charset val="128"/>
        <scheme val="minor"/>
      </rPr>
      <t>i</t>
    </r>
    <r>
      <rPr>
        <sz val="11"/>
        <color theme="1"/>
        <rFont val="Yu Gothic"/>
        <family val="2"/>
        <scheme val="minor"/>
      </rPr>
      <t>,G</t>
    </r>
    <r>
      <rPr>
        <vertAlign val="subscript"/>
        <sz val="11"/>
        <color theme="1"/>
        <rFont val="Yu Gothic"/>
        <family val="3"/>
        <charset val="128"/>
        <scheme val="minor"/>
      </rPr>
      <t>f</t>
    </r>
    <r>
      <rPr>
        <sz val="11"/>
        <color theme="1"/>
        <rFont val="Yu Gothic"/>
        <family val="2"/>
        <scheme val="minor"/>
      </rPr>
      <t>に修正しました。</t>
    </r>
    <rPh sb="89" eb="91">
      <t>ツイキ</t>
    </rPh>
    <rPh sb="277" eb="279">
      <t>シュウセイ</t>
    </rPh>
    <rPh sb="286" eb="288">
      <t>ジョウキ</t>
    </rPh>
    <rPh sb="289" eb="290">
      <t>トモナ</t>
    </rPh>
    <rPh sb="292" eb="293">
      <t>ズ</t>
    </rPh>
    <rPh sb="296" eb="297">
      <t>チュウ</t>
    </rPh>
    <rPh sb="341" eb="343">
      <t>ヘンコウ</t>
    </rPh>
    <rPh sb="361" eb="363">
      <t>キゴウ</t>
    </rPh>
    <rPh sb="376" eb="378">
      <t>シュウセイ</t>
    </rPh>
    <phoneticPr fontId="1"/>
  </si>
  <si>
    <t>・プルダウンメニューには一般流通していない木材も存在する。材料の選択にあたっては、調達可能な材料であるこ</t>
    <rPh sb="12" eb="16">
      <t>イッパンリュウツウ</t>
    </rPh>
    <rPh sb="21" eb="23">
      <t>モクザイ</t>
    </rPh>
    <rPh sb="24" eb="26">
      <t>ソンザイ</t>
    </rPh>
    <phoneticPr fontId="1"/>
  </si>
  <si>
    <r>
      <t>・2-1は柱の等級と種類が無等級材すぎ（圧縮の基準強度17.7N/㎜</t>
    </r>
    <r>
      <rPr>
        <vertAlign val="superscript"/>
        <sz val="11"/>
        <color theme="1"/>
        <rFont val="ＭＳ ゴシック"/>
        <family val="3"/>
        <charset val="128"/>
      </rPr>
      <t>2</t>
    </r>
    <r>
      <rPr>
        <sz val="11"/>
        <color theme="1"/>
        <rFont val="ＭＳ ゴシック"/>
        <family val="3"/>
        <charset val="128"/>
      </rPr>
      <t>）前提とした算定方法であるのに対し、2-2は柱</t>
    </r>
    <rPh sb="20" eb="22">
      <t>アッシュク</t>
    </rPh>
    <rPh sb="23" eb="27">
      <t>キジュンキョウド</t>
    </rPh>
    <rPh sb="36" eb="38">
      <t>ゼンテイ</t>
    </rPh>
    <phoneticPr fontId="1"/>
  </si>
  <si>
    <t xml:space="preserve">  の圧縮の基準強度FcをJAS等の規格ごと、樹種ごと、等級ごとに選択できるようにしたものである。</t>
    <phoneticPr fontId="1"/>
  </si>
  <si>
    <t xml:space="preserve">  とを取引先に事前に確認すること。</t>
    <phoneticPr fontId="1"/>
  </si>
  <si>
    <t>・2-3は表計算ツールによって、柱の負担可能面積を求めた後、別途平面図等を利用して柱の割り付け作業が必要と</t>
    <rPh sb="5" eb="8">
      <t>ヒョウケイサン</t>
    </rPh>
    <rPh sb="16" eb="17">
      <t>ハシラ</t>
    </rPh>
    <rPh sb="18" eb="24">
      <t>フタンカノウメンセキ</t>
    </rPh>
    <rPh sb="25" eb="26">
      <t>モト</t>
    </rPh>
    <rPh sb="28" eb="29">
      <t>アト</t>
    </rPh>
    <rPh sb="30" eb="32">
      <t>ベット</t>
    </rPh>
    <rPh sb="32" eb="35">
      <t>ヘイメンズ</t>
    </rPh>
    <rPh sb="35" eb="36">
      <t>トウ</t>
    </rPh>
    <rPh sb="37" eb="39">
      <t>リヨウ</t>
    </rPh>
    <rPh sb="41" eb="42">
      <t>ハシラ</t>
    </rPh>
    <rPh sb="43" eb="44">
      <t>ワ</t>
    </rPh>
    <rPh sb="45" eb="46">
      <t>ツ</t>
    </rPh>
    <rPh sb="47" eb="49">
      <t>サギョウ</t>
    </rPh>
    <rPh sb="50" eb="52">
      <t>ヒツヨウ</t>
    </rPh>
    <phoneticPr fontId="1"/>
  </si>
  <si>
    <t xml:space="preserve">  なるので注意を要する。</t>
    <phoneticPr fontId="1"/>
  </si>
  <si>
    <t>横架材間距離（㎜）。2階建ての1階の横架材間距離は階高から梁せい120㎜を、2階建ての2階及び平屋の横架材間距離は階高から梁せい105㎜を引いて算出している。</t>
    <rPh sb="0" eb="3">
      <t>オウカザイ</t>
    </rPh>
    <rPh sb="3" eb="4">
      <t>アイダ</t>
    </rPh>
    <rPh sb="4" eb="6">
      <t>キョリ</t>
    </rPh>
    <rPh sb="11" eb="13">
      <t>カイダ</t>
    </rPh>
    <rPh sb="39" eb="40">
      <t>カイ</t>
    </rPh>
    <rPh sb="40" eb="41">
      <t>ダ</t>
    </rPh>
    <rPh sb="44" eb="45">
      <t>カイ</t>
    </rPh>
    <rPh sb="45" eb="46">
      <t>オヨ</t>
    </rPh>
    <rPh sb="47" eb="49">
      <t>ヒラヤ</t>
    </rPh>
    <phoneticPr fontId="1"/>
  </si>
  <si>
    <t>・平屋の梁せいを105㎜としました。</t>
    <rPh sb="1" eb="3">
      <t>ヒラヤ</t>
    </rPh>
    <rPh sb="4" eb="5">
      <t>ハリ</t>
    </rPh>
    <phoneticPr fontId="1"/>
  </si>
  <si>
    <t>2024/5/16更新</t>
    <rPh sb="9" eb="11">
      <t>コウシン</t>
    </rPh>
    <phoneticPr fontId="1"/>
  </si>
  <si>
    <r>
      <t>断熱材の密度と厚さを任意入力したい場合は、「任意入力」をプルダウン選択し、右欄</t>
    </r>
    <r>
      <rPr>
        <b/>
        <sz val="9"/>
        <color theme="9" tint="-0.249977111117893"/>
        <rFont val="Yu Gothic"/>
        <family val="3"/>
        <charset val="128"/>
        <scheme val="minor"/>
      </rPr>
      <t>(緑)</t>
    </r>
    <r>
      <rPr>
        <sz val="9"/>
        <color theme="1"/>
        <rFont val="Yu Gothic"/>
        <family val="3"/>
        <charset val="128"/>
        <scheme val="minor"/>
      </rPr>
      <t>に値を入力する。異なる断熱材を重ねて使用する場合には2段に分けて記載する。</t>
    </r>
    <rPh sb="0" eb="3">
      <t>ダンネツザイ</t>
    </rPh>
    <rPh sb="4" eb="6">
      <t>ミツド</t>
    </rPh>
    <rPh sb="7" eb="8">
      <t>アツ</t>
    </rPh>
    <rPh sb="10" eb="12">
      <t>ニンイ</t>
    </rPh>
    <rPh sb="12" eb="14">
      <t>ニュウリョク</t>
    </rPh>
    <rPh sb="17" eb="19">
      <t>バアイ</t>
    </rPh>
    <rPh sb="22" eb="24">
      <t>ニンイ</t>
    </rPh>
    <rPh sb="24" eb="26">
      <t>ニュウリョク</t>
    </rPh>
    <rPh sb="33" eb="35">
      <t>センタク</t>
    </rPh>
    <rPh sb="37" eb="39">
      <t>ミギラン</t>
    </rPh>
    <rPh sb="43" eb="44">
      <t>アタイ</t>
    </rPh>
    <rPh sb="45" eb="47">
      <t>ニュウリョク</t>
    </rPh>
    <phoneticPr fontId="1"/>
  </si>
  <si>
    <t xml:space="preserve">ver1.3 </t>
    <phoneticPr fontId="1"/>
  </si>
  <si>
    <t>表1－5　鉛直構面の固定荷重の数値と根拠</t>
    <rPh sb="0" eb="1">
      <t>ヒョウ</t>
    </rPh>
    <rPh sb="5" eb="7">
      <t>エンチョク</t>
    </rPh>
    <rPh sb="7" eb="9">
      <t>カマメン</t>
    </rPh>
    <rPh sb="10" eb="14">
      <t>コテイカジュウ</t>
    </rPh>
    <rPh sb="15" eb="17">
      <t>スウチ</t>
    </rPh>
    <rPh sb="18" eb="20">
      <t>コンキョ</t>
    </rPh>
    <phoneticPr fontId="1"/>
  </si>
  <si>
    <t>E85</t>
    <phoneticPr fontId="1"/>
  </si>
  <si>
    <t>E85-F300</t>
    <phoneticPr fontId="1"/>
  </si>
  <si>
    <t>E85-F270</t>
    <phoneticPr fontId="1"/>
  </si>
  <si>
    <t>E85-F255</t>
    <phoneticPr fontId="1"/>
  </si>
  <si>
    <t>設計者</t>
    <rPh sb="0" eb="3">
      <t>セッケイシャ</t>
    </rPh>
    <phoneticPr fontId="1"/>
  </si>
  <si>
    <t>登録番号</t>
    <rPh sb="0" eb="4">
      <t>トウロクバンゴウ</t>
    </rPh>
    <phoneticPr fontId="1"/>
  </si>
  <si>
    <t>登録第</t>
    <rPh sb="0" eb="2">
      <t>トウロク</t>
    </rPh>
    <rPh sb="2" eb="3">
      <t>ダイ</t>
    </rPh>
    <phoneticPr fontId="1"/>
  </si>
  <si>
    <t>氏名</t>
    <rPh sb="0" eb="2">
      <t>シメイ</t>
    </rPh>
    <phoneticPr fontId="1"/>
  </si>
  <si>
    <t>建築士事務所名</t>
    <rPh sb="0" eb="7">
      <t>ケンチクシジムショメイ</t>
    </rPh>
    <phoneticPr fontId="1"/>
  </si>
  <si>
    <t>事務所</t>
    <rPh sb="0" eb="3">
      <t>ジムショ</t>
    </rPh>
    <phoneticPr fontId="1"/>
  </si>
  <si>
    <t>知事</t>
    <rPh sb="0" eb="2">
      <t>チジ</t>
    </rPh>
    <phoneticPr fontId="1"/>
  </si>
  <si>
    <t>一級建築士</t>
    <rPh sb="0" eb="2">
      <t>イッキュウ</t>
    </rPh>
    <rPh sb="2" eb="5">
      <t>ケンチクシ</t>
    </rPh>
    <phoneticPr fontId="1"/>
  </si>
  <si>
    <t>二級建築士</t>
    <rPh sb="0" eb="2">
      <t>ニキュウ</t>
    </rPh>
    <rPh sb="2" eb="5">
      <t>ケンチクシ</t>
    </rPh>
    <phoneticPr fontId="1"/>
  </si>
  <si>
    <t>木造建築士</t>
    <rPh sb="0" eb="2">
      <t>モクゾウ</t>
    </rPh>
    <rPh sb="2" eb="5">
      <t>ケンチクシ</t>
    </rPh>
    <phoneticPr fontId="1"/>
  </si>
  <si>
    <t>●●邸新築工事</t>
    <rPh sb="2" eb="3">
      <t>テイ</t>
    </rPh>
    <rPh sb="3" eb="7">
      <t>シンチクコウジ</t>
    </rPh>
    <phoneticPr fontId="1"/>
  </si>
  <si>
    <t>東京都</t>
    <rPh sb="0" eb="3">
      <t>トウキョウト</t>
    </rPh>
    <phoneticPr fontId="1"/>
  </si>
  <si>
    <t>(ハ)99999</t>
    <phoneticPr fontId="1"/>
  </si>
  <si>
    <t>・誤記等の修正を行いました。</t>
    <rPh sb="1" eb="3">
      <t>ゴキ</t>
    </rPh>
    <rPh sb="3" eb="4">
      <t>トウ</t>
    </rPh>
    <rPh sb="5" eb="7">
      <t>シュウセイ</t>
    </rPh>
    <rPh sb="8" eb="9">
      <t>オコナ</t>
    </rPh>
    <phoneticPr fontId="1"/>
  </si>
  <si>
    <t>熊本太郎邸　新築工事</t>
    <rPh sb="0" eb="4">
      <t>クマモトタロウ</t>
    </rPh>
    <rPh sb="4" eb="5">
      <t>テイ</t>
    </rPh>
    <rPh sb="6" eb="8">
      <t>シンチク</t>
    </rPh>
    <rPh sb="8" eb="10">
      <t>コウジ</t>
    </rPh>
    <phoneticPr fontId="1"/>
  </si>
  <si>
    <t>建築次郎</t>
    <rPh sb="0" eb="4">
      <t>ケンチクジロウ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</si>
</sst>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_ "/>
    <numFmt numFmtId="177" formatCode="0.000_ "/>
    <numFmt numFmtId="178" formatCode="0.0_ "/>
    <numFmt numFmtId="179" formatCode="yyyy&quot;年&quot;m&quot;月&quot;d&quot;日&quot;;@"/>
    <numFmt numFmtId="180" formatCode="0.000_);[Red]\(0.000\)"/>
    <numFmt numFmtId="181" formatCode="0_);[Red]\(0\)"/>
    <numFmt numFmtId="182" formatCode="0_ "/>
    <numFmt numFmtId="183" formatCode="#\ ???/???"/>
  </numFmts>
  <fonts count="63">
    <font>
      <sz val="11"/>
      <color theme="1"/>
      <name val="Yu Gothic"/>
      <family val="2"/>
      <scheme val="minor"/>
    </font>
    <font>
      <sz val="6"/>
      <name val="Yu Gothic"/>
      <family val="3"/>
      <charset val="128"/>
      <scheme val="minor"/>
    </font>
    <font>
      <sz val="11"/>
      <color rgb="FFFF0000"/>
      <name val="Yu Gothic"/>
      <family val="2"/>
      <scheme val="minor"/>
    </font>
    <font>
      <sz val="11"/>
      <color rgb="FFFF0000"/>
      <name val="Yu Gothic"/>
      <family val="3"/>
      <charset val="128"/>
      <scheme val="minor"/>
    </font>
    <font>
      <sz val="22"/>
      <color theme="1"/>
      <name val="HG丸ｺﾞｼｯｸM-PRO"/>
      <family val="3"/>
      <charset val="128"/>
    </font>
    <font>
      <vertAlign val="superscript"/>
      <sz val="11"/>
      <color theme="1"/>
      <name val="Yu Gothic"/>
      <family val="3"/>
      <charset val="128"/>
      <scheme val="minor"/>
    </font>
    <font>
      <sz val="11"/>
      <color theme="1"/>
      <name val="Yu Gothic"/>
      <family val="3"/>
      <charset val="128"/>
      <scheme val="minor"/>
    </font>
    <font>
      <b/>
      <sz val="11"/>
      <color theme="1"/>
      <name val="Yu Gothic"/>
      <family val="3"/>
      <charset val="128"/>
      <scheme val="minor"/>
    </font>
    <font>
      <sz val="11"/>
      <color theme="0"/>
      <name val="Yu Gothic"/>
      <family val="3"/>
      <charset val="128"/>
      <scheme val="minor"/>
    </font>
    <font>
      <sz val="12"/>
      <color rgb="FFFF0000"/>
      <name val="Yu Gothic"/>
      <family val="3"/>
      <charset val="128"/>
      <scheme val="minor"/>
    </font>
    <font>
      <sz val="9"/>
      <color theme="1"/>
      <name val="Yu Gothic"/>
      <family val="3"/>
      <charset val="128"/>
      <scheme val="minor"/>
    </font>
    <font>
      <sz val="12"/>
      <color theme="1"/>
      <name val="HG丸ｺﾞｼｯｸM-PRO"/>
      <family val="3"/>
      <charset val="128"/>
    </font>
    <font>
      <sz val="12"/>
      <color theme="1"/>
      <name val="Yu Gothic"/>
      <family val="3"/>
      <charset val="128"/>
      <scheme val="minor"/>
    </font>
    <font>
      <sz val="12"/>
      <color theme="1"/>
      <name val="Yu Gothic"/>
      <family val="2"/>
      <scheme val="minor"/>
    </font>
    <font>
      <vertAlign val="subscript"/>
      <sz val="11"/>
      <color theme="1"/>
      <name val="Yu Gothic"/>
      <family val="3"/>
      <charset val="128"/>
      <scheme val="minor"/>
    </font>
    <font>
      <sz val="11"/>
      <color theme="1"/>
      <name val="HG丸ｺﾞｼｯｸM-PRO"/>
      <family val="3"/>
      <charset val="128"/>
    </font>
    <font>
      <sz val="10"/>
      <color theme="1"/>
      <name val="Yu Gothic"/>
      <family val="3"/>
      <charset val="128"/>
      <scheme val="minor"/>
    </font>
    <font>
      <b/>
      <sz val="11"/>
      <color theme="5" tint="-0.249977111117893"/>
      <name val="HG丸ｺﾞｼｯｸM-PRO"/>
      <family val="3"/>
      <charset val="128"/>
    </font>
    <font>
      <sz val="11"/>
      <color theme="0" tint="-0.34998626667073579"/>
      <name val="Yu Gothic"/>
      <family val="3"/>
      <charset val="128"/>
      <scheme val="minor"/>
    </font>
    <font>
      <u/>
      <sz val="9"/>
      <color theme="1"/>
      <name val="Yu Gothic"/>
      <family val="3"/>
      <charset val="128"/>
      <scheme val="minor"/>
    </font>
    <font>
      <sz val="11"/>
      <color rgb="FF9C0006"/>
      <name val="Yu Gothic"/>
      <family val="2"/>
      <charset val="128"/>
      <scheme val="minor"/>
    </font>
    <font>
      <sz val="10"/>
      <color theme="1"/>
      <name val="Yu Gothic"/>
      <family val="2"/>
      <scheme val="minor"/>
    </font>
    <font>
      <sz val="11"/>
      <color theme="1"/>
      <name val="Yu Gothic"/>
      <charset val="128"/>
      <scheme val="minor"/>
    </font>
    <font>
      <sz val="11"/>
      <color rgb="FFFF0000"/>
      <name val="Yu Gothic"/>
      <family val="3"/>
      <scheme val="minor"/>
    </font>
    <font>
      <b/>
      <sz val="10"/>
      <color theme="1"/>
      <name val="Yu Gothic"/>
      <family val="3"/>
      <charset val="128"/>
      <scheme val="minor"/>
    </font>
    <font>
      <sz val="9"/>
      <color theme="1"/>
      <name val="Yu Gothic"/>
      <family val="2"/>
      <scheme val="minor"/>
    </font>
    <font>
      <sz val="10"/>
      <name val="Yu Gothic"/>
      <family val="3"/>
      <charset val="128"/>
      <scheme val="minor"/>
    </font>
    <font>
      <sz val="11"/>
      <color theme="1"/>
      <name val="ＭＳ ゴシック"/>
      <family val="3"/>
      <charset val="128"/>
    </font>
    <font>
      <sz val="16"/>
      <color theme="1"/>
      <name val="Yu Gothic"/>
      <family val="2"/>
      <scheme val="minor"/>
    </font>
    <font>
      <sz val="11"/>
      <name val="Yu Gothic"/>
      <family val="3"/>
      <charset val="128"/>
      <scheme val="minor"/>
    </font>
    <font>
      <vertAlign val="superscript"/>
      <sz val="11"/>
      <name val="Yu Gothic"/>
      <family val="3"/>
      <charset val="128"/>
      <scheme val="minor"/>
    </font>
    <font>
      <i/>
      <sz val="11"/>
      <color theme="1"/>
      <name val="Yu Gothic"/>
      <family val="3"/>
      <charset val="128"/>
      <scheme val="minor"/>
    </font>
    <font>
      <i/>
      <vertAlign val="subscript"/>
      <sz val="11"/>
      <color theme="1"/>
      <name val="Yu Gothic"/>
      <family val="3"/>
      <charset val="128"/>
      <scheme val="minor"/>
    </font>
    <font>
      <b/>
      <sz val="9"/>
      <color theme="1"/>
      <name val="Yu Gothic"/>
      <family val="3"/>
      <charset val="128"/>
      <scheme val="minor"/>
    </font>
    <font>
      <sz val="11"/>
      <color theme="1"/>
      <name val="Yu Gothic"/>
      <family val="3"/>
      <scheme val="minor"/>
    </font>
    <font>
      <sz val="12"/>
      <color rgb="FFFF0000"/>
      <name val="Segoe UI Symbol"/>
      <family val="3"/>
    </font>
    <font>
      <vertAlign val="superscript"/>
      <sz val="9"/>
      <color theme="1"/>
      <name val="Yu Gothic"/>
      <family val="3"/>
      <charset val="128"/>
      <scheme val="minor"/>
    </font>
    <font>
      <sz val="11"/>
      <name val="Yu Gothic"/>
      <family val="2"/>
      <scheme val="minor"/>
    </font>
    <font>
      <b/>
      <i/>
      <sz val="10"/>
      <color theme="1"/>
      <name val="Yu Gothic"/>
      <family val="3"/>
      <charset val="128"/>
      <scheme val="minor"/>
    </font>
    <font>
      <b/>
      <i/>
      <vertAlign val="subscript"/>
      <sz val="10"/>
      <color theme="1"/>
      <name val="Yu Gothic"/>
      <family val="3"/>
      <charset val="128"/>
      <scheme val="minor"/>
    </font>
    <font>
      <b/>
      <sz val="9"/>
      <color theme="9" tint="-0.249977111117893"/>
      <name val="Yu Gothic"/>
      <family val="3"/>
      <charset val="128"/>
      <scheme val="minor"/>
    </font>
    <font>
      <b/>
      <sz val="11"/>
      <color theme="9" tint="-0.249977111117893"/>
      <name val="HG丸ｺﾞｼｯｸM-PRO"/>
      <family val="3"/>
      <charset val="128"/>
    </font>
    <font>
      <i/>
      <sz val="11"/>
      <color theme="1"/>
      <name val="ＭＳ ゴシック"/>
      <family val="3"/>
      <charset val="128"/>
    </font>
    <font>
      <sz val="9"/>
      <color rgb="FFFF0000"/>
      <name val="Yu Gothic"/>
      <family val="3"/>
      <charset val="128"/>
      <scheme val="minor"/>
    </font>
    <font>
      <b/>
      <vertAlign val="superscript"/>
      <sz val="10"/>
      <color theme="1"/>
      <name val="Yu Gothic"/>
      <family val="3"/>
      <charset val="128"/>
      <scheme val="minor"/>
    </font>
    <font>
      <b/>
      <vertAlign val="superscript"/>
      <sz val="9"/>
      <color theme="1"/>
      <name val="Yu Gothic"/>
      <family val="3"/>
      <charset val="128"/>
      <scheme val="minor"/>
    </font>
    <font>
      <sz val="16"/>
      <color theme="1"/>
      <name val="HG丸ｺﾞｼｯｸM-PRO"/>
      <family val="3"/>
      <charset val="128"/>
    </font>
    <font>
      <sz val="10"/>
      <color theme="1"/>
      <name val="Times New Roman"/>
      <family val="1"/>
    </font>
    <font>
      <sz val="10"/>
      <color theme="1"/>
      <name val="ＭＳ 明朝"/>
      <family val="1"/>
      <charset val="128"/>
    </font>
    <font>
      <sz val="10"/>
      <color theme="1"/>
      <name val="ＭＳ Ｐ明朝"/>
      <family val="1"/>
      <charset val="128"/>
    </font>
    <font>
      <u/>
      <sz val="11"/>
      <color theme="10"/>
      <name val="Yu Gothic"/>
      <family val="2"/>
      <scheme val="minor"/>
    </font>
    <font>
      <vertAlign val="superscript"/>
      <sz val="11"/>
      <color rgb="FFFF0000"/>
      <name val="Yu Gothic"/>
      <family val="3"/>
      <charset val="128"/>
      <scheme val="minor"/>
    </font>
    <font>
      <sz val="8"/>
      <color theme="1"/>
      <name val="Yu Gothic"/>
      <family val="3"/>
      <charset val="128"/>
      <scheme val="minor"/>
    </font>
    <font>
      <vertAlign val="subscript"/>
      <sz val="9"/>
      <color theme="1"/>
      <name val="Yu Gothic"/>
      <family val="3"/>
      <charset val="128"/>
      <scheme val="minor"/>
    </font>
    <font>
      <b/>
      <vertAlign val="subscript"/>
      <sz val="9"/>
      <color theme="1"/>
      <name val="Yu Gothic"/>
      <family val="3"/>
      <charset val="128"/>
      <scheme val="minor"/>
    </font>
    <font>
      <b/>
      <i/>
      <sz val="9"/>
      <color theme="1"/>
      <name val="Yu Gothic"/>
      <family val="3"/>
      <charset val="128"/>
      <scheme val="minor"/>
    </font>
    <font>
      <b/>
      <vertAlign val="subscript"/>
      <sz val="10"/>
      <color theme="1"/>
      <name val="Yu Gothic"/>
      <family val="3"/>
      <charset val="128"/>
      <scheme val="minor"/>
    </font>
    <font>
      <vertAlign val="superscript"/>
      <sz val="12"/>
      <color theme="1"/>
      <name val="HG丸ｺﾞｼｯｸM-PRO"/>
      <family val="3"/>
      <charset val="128"/>
    </font>
    <font>
      <vertAlign val="subscript"/>
      <sz val="11"/>
      <color theme="1"/>
      <name val="ＭＳ ゴシック"/>
      <family val="3"/>
      <charset val="128"/>
    </font>
    <font>
      <vertAlign val="superscript"/>
      <sz val="11"/>
      <color theme="1"/>
      <name val="ＭＳ ゴシック"/>
      <family val="3"/>
      <charset val="128"/>
    </font>
    <font>
      <sz val="10.5"/>
      <color theme="1"/>
      <name val="游明朝"/>
      <family val="1"/>
      <charset val="128"/>
    </font>
    <font>
      <vertAlign val="subscript"/>
      <sz val="11"/>
      <color rgb="FFFF0000"/>
      <name val="Yu Gothic"/>
      <family val="3"/>
      <charset val="128"/>
      <scheme val="minor"/>
    </font>
    <font>
      <sz val="16"/>
      <color theme="1"/>
      <name val="Yu Gothic"/>
      <family val="3"/>
      <charset val="128"/>
      <scheme val="minor"/>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C7CE"/>
      </patternFill>
    </fill>
  </fills>
  <borders count="1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theme="1"/>
      </left>
      <right/>
      <top/>
      <bottom style="thin">
        <color theme="1"/>
      </bottom>
      <diagonal/>
    </border>
    <border>
      <left style="thin">
        <color theme="1"/>
      </left>
      <right/>
      <top style="thin">
        <color theme="1"/>
      </top>
      <bottom style="thin">
        <color theme="1"/>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bottom style="hair">
        <color indexed="64"/>
      </bottom>
      <diagonal/>
    </border>
    <border>
      <left/>
      <right/>
      <top style="medium">
        <color indexed="64"/>
      </top>
      <bottom style="thin">
        <color indexed="64"/>
      </bottom>
      <diagonal/>
    </border>
    <border>
      <left/>
      <right style="thin">
        <color theme="1"/>
      </right>
      <top/>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thin">
        <color indexed="64"/>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top style="medium">
        <color indexed="64"/>
      </top>
      <bottom style="medium">
        <color indexed="64"/>
      </bottom>
      <diagonal/>
    </border>
    <border>
      <left style="thin">
        <color theme="1"/>
      </left>
      <right/>
      <top style="thin">
        <color theme="1"/>
      </top>
      <bottom/>
      <diagonal/>
    </border>
    <border>
      <left style="thin">
        <color theme="1"/>
      </left>
      <right/>
      <top/>
      <bottom/>
      <diagonal/>
    </border>
    <border>
      <left style="medium">
        <color indexed="64"/>
      </left>
      <right/>
      <top style="thin">
        <color theme="1"/>
      </top>
      <bottom style="thin">
        <color theme="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style="thin">
        <color indexed="64"/>
      </bottom>
      <diagonal/>
    </border>
    <border diagonalUp="1">
      <left style="medium">
        <color indexed="64"/>
      </left>
      <right style="thin">
        <color indexed="64"/>
      </right>
      <top style="medium">
        <color indexed="64"/>
      </top>
      <bottom style="thin">
        <color indexed="64"/>
      </bottom>
      <diagonal style="hair">
        <color indexed="64"/>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bottom style="medium">
        <color indexed="64"/>
      </bottom>
      <diagonal/>
    </border>
    <border>
      <left/>
      <right style="hair">
        <color indexed="64"/>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bottom style="thin">
        <color theme="1"/>
      </bottom>
      <diagonal/>
    </border>
    <border>
      <left style="hair">
        <color indexed="64"/>
      </left>
      <right/>
      <top/>
      <bottom style="hair">
        <color indexed="64"/>
      </bottom>
      <diagonal/>
    </border>
    <border>
      <left/>
      <right style="medium">
        <color indexed="64"/>
      </right>
      <top/>
      <bottom style="hair">
        <color indexed="64"/>
      </bottom>
      <diagonal/>
    </border>
  </borders>
  <cellStyleXfs count="3">
    <xf numFmtId="0" fontId="0" fillId="0" borderId="0"/>
    <xf numFmtId="0" fontId="20" fillId="5" borderId="0" applyNumberFormat="0" applyBorder="0" applyAlignment="0" applyProtection="0">
      <alignment vertical="center"/>
    </xf>
    <xf numFmtId="0" fontId="50" fillId="0" borderId="0" applyNumberFormat="0" applyFill="0" applyBorder="0" applyAlignment="0" applyProtection="0"/>
  </cellStyleXfs>
  <cellXfs count="1080">
    <xf numFmtId="0" fontId="0" fillId="0" borderId="0" xfId="0"/>
    <xf numFmtId="0" fontId="0" fillId="0" borderId="1" xfId="0" applyBorder="1"/>
    <xf numFmtId="0" fontId="0" fillId="0" borderId="0" xfId="0" applyAlignment="1">
      <alignment wrapText="1"/>
    </xf>
    <xf numFmtId="0" fontId="0" fillId="0" borderId="1" xfId="0" applyBorder="1" applyAlignment="1">
      <alignment horizontal="center" vertical="center"/>
    </xf>
    <xf numFmtId="0" fontId="0" fillId="0" borderId="0" xfId="0" applyAlignment="1">
      <alignment horizontal="center" vertical="center"/>
    </xf>
    <xf numFmtId="0" fontId="3" fillId="0" borderId="0" xfId="0" applyFont="1"/>
    <xf numFmtId="178" fontId="0" fillId="0" borderId="1" xfId="0" applyNumberFormat="1" applyBorder="1"/>
    <xf numFmtId="0" fontId="6" fillId="0" borderId="0" xfId="0" applyFont="1"/>
    <xf numFmtId="0" fontId="13" fillId="0" borderId="0" xfId="0" applyFont="1"/>
    <xf numFmtId="0" fontId="9" fillId="0" borderId="0" xfId="0" applyFont="1" applyAlignment="1">
      <alignment horizontal="center" vertical="center"/>
    </xf>
    <xf numFmtId="0" fontId="0" fillId="0" borderId="0" xfId="0" applyAlignment="1">
      <alignment horizontal="center" vertical="center" wrapText="1"/>
    </xf>
    <xf numFmtId="0" fontId="18" fillId="0" borderId="0" xfId="0" applyFont="1"/>
    <xf numFmtId="0" fontId="0" fillId="0" borderId="0" xfId="0" applyAlignment="1">
      <alignment vertical="center"/>
    </xf>
    <xf numFmtId="0" fontId="0" fillId="0" borderId="0" xfId="0" applyAlignment="1">
      <alignment vertical="center" wrapText="1"/>
    </xf>
    <xf numFmtId="0" fontId="3" fillId="0" borderId="0" xfId="0" applyFont="1" applyAlignment="1">
      <alignment horizontal="center" vertical="center"/>
    </xf>
    <xf numFmtId="0" fontId="3" fillId="0" borderId="0" xfId="0" applyFont="1" applyAlignment="1">
      <alignment wrapText="1"/>
    </xf>
    <xf numFmtId="178" fontId="0" fillId="0" borderId="0" xfId="0" applyNumberFormat="1"/>
    <xf numFmtId="0" fontId="23" fillId="0" borderId="0" xfId="0" applyFont="1"/>
    <xf numFmtId="0" fontId="0" fillId="0" borderId="1" xfId="0" applyBorder="1" applyAlignment="1">
      <alignment vertical="top" wrapText="1"/>
    </xf>
    <xf numFmtId="0" fontId="6" fillId="0" borderId="0" xfId="0" applyFont="1" applyProtection="1">
      <protection locked="0"/>
    </xf>
    <xf numFmtId="0" fontId="0" fillId="0" borderId="0" xfId="0" applyAlignment="1" applyProtection="1">
      <alignment horizontal="center" vertical="center"/>
      <protection locked="0"/>
    </xf>
    <xf numFmtId="0" fontId="3" fillId="0" borderId="0" xfId="0" applyFont="1" applyProtection="1">
      <protection locked="0"/>
    </xf>
    <xf numFmtId="0" fontId="9" fillId="0" borderId="0" xfId="0" applyFont="1" applyAlignment="1" applyProtection="1">
      <alignment horizontal="center" vertical="center"/>
      <protection locked="0"/>
    </xf>
    <xf numFmtId="0" fontId="0" fillId="0" borderId="0" xfId="0" applyAlignment="1" applyProtection="1">
      <alignment horizontal="center"/>
      <protection locked="0"/>
    </xf>
    <xf numFmtId="0" fontId="3" fillId="0" borderId="0" xfId="0" applyFont="1" applyAlignment="1" applyProtection="1">
      <alignment vertical="top" wrapText="1"/>
      <protection locked="0"/>
    </xf>
    <xf numFmtId="0" fontId="6" fillId="0" borderId="0" xfId="0" applyFont="1" applyAlignment="1" applyProtection="1">
      <alignment vertical="center" wrapText="1"/>
      <protection locked="0"/>
    </xf>
    <xf numFmtId="0" fontId="10" fillId="0" borderId="0" xfId="0" applyFont="1" applyAlignment="1" applyProtection="1">
      <alignment vertical="top"/>
      <protection locked="0"/>
    </xf>
    <xf numFmtId="0" fontId="0" fillId="0" borderId="0" xfId="0" applyAlignment="1" applyProtection="1">
      <alignment vertical="center"/>
      <protection locked="0"/>
    </xf>
    <xf numFmtId="0" fontId="26" fillId="0" borderId="0" xfId="0" applyFont="1" applyAlignment="1" applyProtection="1">
      <alignment horizontal="center" vertical="center"/>
      <protection locked="0"/>
    </xf>
    <xf numFmtId="0" fontId="25" fillId="0" borderId="0" xfId="0" applyFont="1" applyAlignment="1">
      <alignment horizontal="center" vertical="top" wrapText="1"/>
    </xf>
    <xf numFmtId="0" fontId="6" fillId="0" borderId="0" xfId="0" applyFont="1" applyAlignment="1" applyProtection="1">
      <alignment horizontal="left" wrapText="1"/>
      <protection locked="0"/>
    </xf>
    <xf numFmtId="0" fontId="6" fillId="0" borderId="0" xfId="0" applyFont="1" applyAlignment="1" applyProtection="1">
      <alignment horizontal="left" vertical="top" wrapText="1"/>
      <protection locked="0"/>
    </xf>
    <xf numFmtId="0" fontId="0" fillId="0" borderId="0" xfId="0" applyAlignment="1" applyProtection="1">
      <alignment horizontal="left"/>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6" fillId="3" borderId="11"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0" fillId="0" borderId="1" xfId="0" applyBorder="1" applyAlignment="1">
      <alignment vertical="center"/>
    </xf>
    <xf numFmtId="0" fontId="0" fillId="0" borderId="1" xfId="0" applyBorder="1" applyAlignment="1">
      <alignment wrapText="1"/>
    </xf>
    <xf numFmtId="0" fontId="37"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25" fillId="3" borderId="3" xfId="0" applyFont="1" applyFill="1" applyBorder="1" applyAlignment="1" applyProtection="1">
      <alignment horizontal="left" vertical="center" wrapText="1" shrinkToFit="1"/>
      <protection locked="0"/>
    </xf>
    <xf numFmtId="0" fontId="25" fillId="3" borderId="10" xfId="0" applyFont="1" applyFill="1" applyBorder="1" applyAlignment="1" applyProtection="1">
      <alignment horizontal="left" vertical="center" wrapText="1" shrinkToFit="1"/>
      <protection locked="0"/>
    </xf>
    <xf numFmtId="178" fontId="0" fillId="0" borderId="12" xfId="0" applyNumberFormat="1" applyBorder="1"/>
    <xf numFmtId="182" fontId="0" fillId="0" borderId="1" xfId="0" applyNumberFormat="1" applyBorder="1"/>
    <xf numFmtId="0" fontId="37" fillId="0" borderId="1" xfId="0" applyFont="1" applyBorder="1"/>
    <xf numFmtId="0" fontId="0" fillId="0" borderId="12" xfId="0" applyBorder="1"/>
    <xf numFmtId="178" fontId="0" fillId="0" borderId="1" xfId="0" applyNumberFormat="1" applyBorder="1" applyAlignment="1">
      <alignment vertical="center" wrapText="1"/>
    </xf>
    <xf numFmtId="0" fontId="0" fillId="0" borderId="1" xfId="0" applyBorder="1" applyAlignment="1">
      <alignment horizontal="center" vertical="top" wrapText="1"/>
    </xf>
    <xf numFmtId="178" fontId="0" fillId="0" borderId="1" xfId="0" applyNumberFormat="1" applyBorder="1" applyAlignment="1">
      <alignment horizontal="center" vertical="center" wrapText="1"/>
    </xf>
    <xf numFmtId="0" fontId="6" fillId="0" borderId="1" xfId="0" applyFont="1" applyBorder="1" applyAlignment="1">
      <alignment vertical="top" wrapText="1"/>
    </xf>
    <xf numFmtId="0" fontId="6" fillId="0" borderId="1" xfId="0" applyFont="1" applyBorder="1" applyAlignment="1">
      <alignment vertical="top"/>
    </xf>
    <xf numFmtId="178" fontId="0" fillId="0" borderId="1" xfId="0" applyNumberFormat="1" applyBorder="1" applyAlignment="1">
      <alignment horizontal="right"/>
    </xf>
    <xf numFmtId="178" fontId="7" fillId="0" borderId="0" xfId="0" applyNumberFormat="1" applyFont="1" applyAlignment="1" applyProtection="1">
      <alignment horizontal="center" vertical="center"/>
      <protection locked="0"/>
    </xf>
    <xf numFmtId="0" fontId="6" fillId="0" borderId="0" xfId="0" applyFont="1" applyAlignment="1" applyProtection="1">
      <alignment horizontal="center" shrinkToFit="1"/>
      <protection locked="0"/>
    </xf>
    <xf numFmtId="178" fontId="21" fillId="3" borderId="32" xfId="0" applyNumberFormat="1" applyFont="1" applyFill="1" applyBorder="1" applyAlignment="1" applyProtection="1">
      <alignment horizontal="center" vertical="center"/>
      <protection locked="0"/>
    </xf>
    <xf numFmtId="0" fontId="25" fillId="3" borderId="1" xfId="0" applyFont="1" applyFill="1" applyBorder="1" applyAlignment="1" applyProtection="1">
      <alignment horizontal="left" vertical="center" wrapText="1" shrinkToFit="1"/>
      <protection locked="0"/>
    </xf>
    <xf numFmtId="0" fontId="6" fillId="0" borderId="0" xfId="0" applyFont="1" applyAlignment="1" applyProtection="1">
      <alignment vertical="top" wrapText="1"/>
      <protection locked="0"/>
    </xf>
    <xf numFmtId="0" fontId="6" fillId="0" borderId="0" xfId="0" applyFont="1" applyAlignment="1" applyProtection="1">
      <alignment vertical="top"/>
      <protection locked="0"/>
    </xf>
    <xf numFmtId="0" fontId="15" fillId="0" borderId="0" xfId="0" applyFont="1" applyAlignment="1" applyProtection="1">
      <alignment horizontal="left" vertical="center" wrapText="1"/>
      <protection locked="0"/>
    </xf>
    <xf numFmtId="0" fontId="15" fillId="0" borderId="0" xfId="0" applyFont="1" applyAlignment="1" applyProtection="1">
      <alignment horizontal="left" vertical="top" wrapText="1"/>
      <protection locked="0"/>
    </xf>
    <xf numFmtId="0" fontId="46" fillId="0" borderId="0" xfId="0" applyFont="1" applyAlignment="1" applyProtection="1">
      <alignment horizontal="center" vertical="center"/>
      <protection locked="0"/>
    </xf>
    <xf numFmtId="0" fontId="0" fillId="0" borderId="0" xfId="0" applyAlignment="1" applyProtection="1">
      <alignment horizontal="right"/>
      <protection locked="0"/>
    </xf>
    <xf numFmtId="0" fontId="6" fillId="0" borderId="0" xfId="0" applyFont="1" applyAlignment="1" applyProtection="1">
      <alignment horizontal="left"/>
      <protection locked="0"/>
    </xf>
    <xf numFmtId="0" fontId="6" fillId="0" borderId="0" xfId="0" applyFont="1" applyAlignment="1" applyProtection="1">
      <alignment horizontal="left" shrinkToFit="1"/>
      <protection locked="0"/>
    </xf>
    <xf numFmtId="0" fontId="25" fillId="0" borderId="0" xfId="0" applyFont="1" applyAlignment="1">
      <alignment horizontal="center" wrapText="1"/>
    </xf>
    <xf numFmtId="0" fontId="10" fillId="0" borderId="0" xfId="0" applyFont="1" applyAlignment="1">
      <alignment horizontal="center" vertical="top" wrapText="1"/>
    </xf>
    <xf numFmtId="0" fontId="29" fillId="0" borderId="0" xfId="0" applyFont="1" applyAlignment="1" applyProtection="1">
      <alignment horizontal="center" vertical="center"/>
      <protection locked="0"/>
    </xf>
    <xf numFmtId="0" fontId="10" fillId="0" borderId="0" xfId="0" applyFont="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0" fillId="0" borderId="88" xfId="0" applyBorder="1" applyAlignment="1">
      <alignment horizontal="center"/>
    </xf>
    <xf numFmtId="0" fontId="0" fillId="0" borderId="89" xfId="0" applyBorder="1"/>
    <xf numFmtId="0" fontId="6" fillId="0" borderId="0" xfId="0" applyFont="1" applyAlignment="1">
      <alignment wrapText="1"/>
    </xf>
    <xf numFmtId="0" fontId="0" fillId="0" borderId="92" xfId="0" applyBorder="1" applyAlignment="1">
      <alignment horizontal="center" vertical="center" wrapText="1"/>
    </xf>
    <xf numFmtId="0" fontId="0" fillId="0" borderId="93" xfId="0" applyBorder="1"/>
    <xf numFmtId="0" fontId="0" fillId="0" borderId="0" xfId="0" applyAlignment="1">
      <alignment horizontal="center"/>
    </xf>
    <xf numFmtId="0" fontId="4" fillId="0" borderId="0" xfId="0" applyFont="1"/>
    <xf numFmtId="0" fontId="0" fillId="0" borderId="79" xfId="0" applyBorder="1" applyAlignment="1">
      <alignment horizontal="center" vertical="center" wrapText="1"/>
    </xf>
    <xf numFmtId="0" fontId="6" fillId="0" borderId="84" xfId="0" applyFont="1" applyBorder="1"/>
    <xf numFmtId="0" fontId="6" fillId="0" borderId="0" xfId="0" applyFont="1" applyAlignment="1">
      <alignment horizontal="center"/>
    </xf>
    <xf numFmtId="0" fontId="0" fillId="0" borderId="1" xfId="0" applyBorder="1" applyAlignment="1">
      <alignment horizontal="left" vertical="center" wrapText="1"/>
    </xf>
    <xf numFmtId="0" fontId="0" fillId="0" borderId="75" xfId="0" applyBorder="1" applyAlignment="1">
      <alignment horizontal="center" vertical="center" wrapText="1"/>
    </xf>
    <xf numFmtId="0" fontId="6" fillId="0" borderId="91" xfId="0" applyFont="1" applyBorder="1"/>
    <xf numFmtId="0" fontId="0" fillId="0" borderId="12" xfId="0" applyBorder="1" applyAlignment="1">
      <alignment horizontal="center" vertical="center"/>
    </xf>
    <xf numFmtId="0" fontId="0" fillId="0" borderId="72" xfId="0" applyBorder="1" applyAlignment="1">
      <alignment horizontal="center" vertical="center"/>
    </xf>
    <xf numFmtId="0" fontId="6" fillId="0" borderId="86" xfId="0" applyFont="1" applyBorder="1"/>
    <xf numFmtId="0" fontId="6" fillId="0" borderId="1" xfId="0" applyFont="1" applyBorder="1"/>
    <xf numFmtId="176" fontId="6" fillId="0" borderId="1" xfId="0" applyNumberFormat="1" applyFont="1" applyBorder="1"/>
    <xf numFmtId="0" fontId="0" fillId="0" borderId="0" xfId="0" applyAlignment="1">
      <alignment horizontal="center" shrinkToFit="1"/>
    </xf>
    <xf numFmtId="0" fontId="0" fillId="0" borderId="79" xfId="0" applyBorder="1" applyAlignment="1">
      <alignment horizontal="center" vertical="center"/>
    </xf>
    <xf numFmtId="176" fontId="0" fillId="0" borderId="1" xfId="0" applyNumberFormat="1" applyBorder="1"/>
    <xf numFmtId="0" fontId="15" fillId="0" borderId="0" xfId="0" applyFont="1"/>
    <xf numFmtId="0" fontId="0" fillId="0" borderId="75" xfId="0" applyBorder="1" applyAlignment="1">
      <alignment horizontal="center" vertical="center"/>
    </xf>
    <xf numFmtId="0" fontId="9" fillId="0" borderId="0" xfId="0" applyFont="1"/>
    <xf numFmtId="0" fontId="6" fillId="0" borderId="1" xfId="0" applyFont="1" applyBorder="1" applyAlignment="1">
      <alignment horizontal="center" vertical="center"/>
    </xf>
    <xf numFmtId="0" fontId="11" fillId="0" borderId="0" xfId="0" applyFont="1"/>
    <xf numFmtId="0" fontId="12" fillId="0" borderId="0" xfId="0" applyFont="1"/>
    <xf numFmtId="0" fontId="13" fillId="0" borderId="0" xfId="0" applyFont="1" applyAlignment="1">
      <alignment horizontal="center" vertical="center"/>
    </xf>
    <xf numFmtId="0" fontId="6" fillId="0" borderId="93" xfId="0" applyFont="1" applyBorder="1"/>
    <xf numFmtId="0" fontId="6" fillId="0" borderId="0" xfId="0" applyFont="1" applyAlignment="1">
      <alignment vertical="top" wrapText="1"/>
    </xf>
    <xf numFmtId="0" fontId="6" fillId="0" borderId="85" xfId="0" applyFont="1" applyBorder="1"/>
    <xf numFmtId="0" fontId="3" fillId="0" borderId="0" xfId="0" applyFont="1" applyAlignment="1">
      <alignment horizontal="center"/>
    </xf>
    <xf numFmtId="0" fontId="0" fillId="0" borderId="77" xfId="0" applyBorder="1" applyAlignment="1">
      <alignment horizontal="center" vertical="center" wrapText="1"/>
    </xf>
    <xf numFmtId="0" fontId="6" fillId="0" borderId="83" xfId="0" applyFont="1" applyBorder="1"/>
    <xf numFmtId="0" fontId="9" fillId="0" borderId="0" xfId="0" applyFont="1" applyAlignment="1">
      <alignment horizontal="center"/>
    </xf>
    <xf numFmtId="0" fontId="6" fillId="0" borderId="0" xfId="0" applyFont="1" applyAlignment="1">
      <alignment horizontal="left"/>
    </xf>
    <xf numFmtId="0" fontId="0" fillId="0" borderId="96" xfId="0" applyBorder="1" applyAlignment="1">
      <alignment horizontal="center" vertical="center" wrapText="1"/>
    </xf>
    <xf numFmtId="0" fontId="6" fillId="0" borderId="106" xfId="0" applyFont="1" applyBorder="1"/>
    <xf numFmtId="0" fontId="6" fillId="0" borderId="89" xfId="0" applyFont="1" applyBorder="1"/>
    <xf numFmtId="0" fontId="3" fillId="0" borderId="4" xfId="0" applyFont="1" applyBorder="1" applyAlignment="1">
      <alignment horizontal="center" vertical="top" wrapText="1"/>
    </xf>
    <xf numFmtId="0" fontId="3" fillId="0" borderId="5" xfId="0" applyFont="1" applyBorder="1" applyAlignment="1">
      <alignment horizontal="center"/>
    </xf>
    <xf numFmtId="0" fontId="3" fillId="0" borderId="6" xfId="0" applyFont="1" applyBorder="1"/>
    <xf numFmtId="0" fontId="3" fillId="0" borderId="7" xfId="0" applyFont="1" applyBorder="1"/>
    <xf numFmtId="0" fontId="10" fillId="0" borderId="0" xfId="0" applyFont="1" applyAlignment="1">
      <alignment horizontal="left" vertical="top" wrapText="1"/>
    </xf>
    <xf numFmtId="0" fontId="6" fillId="0" borderId="0" xfId="0" applyFont="1" applyAlignment="1">
      <alignment horizontal="center" vertical="top" wrapText="1"/>
    </xf>
    <xf numFmtId="0" fontId="0" fillId="0" borderId="95" xfId="0" applyBorder="1" applyAlignment="1">
      <alignment horizontal="center"/>
    </xf>
    <xf numFmtId="0" fontId="0" fillId="0" borderId="97" xfId="0" applyBorder="1"/>
    <xf numFmtId="0" fontId="3" fillId="0" borderId="8" xfId="0" applyFont="1" applyBorder="1"/>
    <xf numFmtId="0" fontId="3" fillId="0" borderId="9" xfId="0" applyFont="1" applyBorder="1"/>
    <xf numFmtId="0" fontId="0" fillId="0" borderId="77" xfId="0" applyBorder="1" applyAlignment="1">
      <alignment horizontal="center"/>
    </xf>
    <xf numFmtId="0" fontId="0" fillId="0" borderId="83" xfId="0" applyBorder="1"/>
    <xf numFmtId="0" fontId="0" fillId="0" borderId="81" xfId="0" applyBorder="1" applyAlignment="1">
      <alignment horizontal="center"/>
    </xf>
    <xf numFmtId="0" fontId="0" fillId="0" borderId="85" xfId="0" applyBorder="1"/>
    <xf numFmtId="0" fontId="6" fillId="0" borderId="0" xfId="0" applyFont="1" applyAlignment="1">
      <alignment horizontal="center" shrinkToFit="1"/>
    </xf>
    <xf numFmtId="0" fontId="6" fillId="0" borderId="64" xfId="0" applyFont="1" applyBorder="1"/>
    <xf numFmtId="0" fontId="6" fillId="0" borderId="56" xfId="0" applyFont="1" applyBorder="1"/>
    <xf numFmtId="0" fontId="6" fillId="0" borderId="50" xfId="0" applyFont="1" applyBorder="1" applyAlignment="1">
      <alignment wrapText="1"/>
    </xf>
    <xf numFmtId="0" fontId="6" fillId="0" borderId="46" xfId="0" applyFont="1" applyBorder="1" applyAlignment="1">
      <alignment wrapText="1"/>
    </xf>
    <xf numFmtId="177" fontId="6" fillId="0" borderId="50" xfId="0" applyNumberFormat="1" applyFont="1" applyBorder="1"/>
    <xf numFmtId="0" fontId="6" fillId="0" borderId="54" xfId="0" applyFont="1" applyBorder="1"/>
    <xf numFmtId="0" fontId="6" fillId="0" borderId="6" xfId="0" applyFont="1" applyBorder="1" applyAlignment="1">
      <alignment vertical="top" wrapText="1"/>
    </xf>
    <xf numFmtId="0" fontId="6" fillId="0" borderId="12" xfId="0" applyFont="1" applyBorder="1"/>
    <xf numFmtId="177" fontId="6" fillId="0" borderId="6" xfId="0" applyNumberFormat="1" applyFont="1" applyBorder="1"/>
    <xf numFmtId="0" fontId="6" fillId="0" borderId="7" xfId="0" applyFont="1" applyBorder="1"/>
    <xf numFmtId="0" fontId="50" fillId="0" borderId="0" xfId="2" applyFill="1" applyBorder="1" applyAlignment="1" applyProtection="1">
      <alignment horizontal="center" vertical="center"/>
    </xf>
    <xf numFmtId="0" fontId="6" fillId="0" borderId="6" xfId="0" applyFont="1" applyBorder="1" applyAlignment="1">
      <alignment wrapText="1"/>
    </xf>
    <xf numFmtId="0" fontId="6" fillId="0" borderId="12" xfId="0" applyFont="1" applyBorder="1" applyAlignment="1">
      <alignment vertical="top" wrapText="1"/>
    </xf>
    <xf numFmtId="177" fontId="6" fillId="0" borderId="6" xfId="0" applyNumberFormat="1" applyFont="1" applyBorder="1" applyAlignment="1">
      <alignment vertical="top" wrapText="1"/>
    </xf>
    <xf numFmtId="0" fontId="6" fillId="0" borderId="0" xfId="0" applyFont="1" applyAlignment="1">
      <alignment horizontal="center" vertical="center"/>
    </xf>
    <xf numFmtId="0" fontId="3" fillId="0" borderId="0" xfId="0" applyFont="1" applyAlignment="1">
      <alignment vertical="top" wrapText="1"/>
    </xf>
    <xf numFmtId="0" fontId="6" fillId="0" borderId="17" xfId="0" applyFont="1" applyBorder="1" applyAlignment="1">
      <alignment vertical="top" wrapText="1"/>
    </xf>
    <xf numFmtId="0" fontId="6" fillId="0" borderId="44" xfId="0" applyFont="1" applyBorder="1" applyAlignment="1">
      <alignment vertical="top" wrapText="1"/>
    </xf>
    <xf numFmtId="177" fontId="6" fillId="0" borderId="17" xfId="0" applyNumberFormat="1" applyFont="1" applyBorder="1" applyAlignment="1">
      <alignment vertical="top" wrapText="1"/>
    </xf>
    <xf numFmtId="0" fontId="6" fillId="0" borderId="18" xfId="0" applyFont="1" applyBorder="1"/>
    <xf numFmtId="177" fontId="6" fillId="0" borderId="4" xfId="0" applyNumberFormat="1" applyFont="1" applyBorder="1" applyAlignment="1">
      <alignment vertical="top" wrapText="1"/>
    </xf>
    <xf numFmtId="0" fontId="6" fillId="0" borderId="5" xfId="0" applyFont="1" applyBorder="1"/>
    <xf numFmtId="0" fontId="7" fillId="0" borderId="0" xfId="0" applyFont="1" applyAlignment="1">
      <alignment horizontal="center"/>
    </xf>
    <xf numFmtId="177" fontId="6" fillId="0" borderId="8" xfId="0" applyNumberFormat="1" applyFont="1" applyBorder="1" applyAlignment="1">
      <alignment vertical="top" wrapText="1"/>
    </xf>
    <xf numFmtId="0" fontId="6" fillId="0" borderId="9" xfId="0" applyFont="1" applyBorder="1"/>
    <xf numFmtId="0" fontId="6" fillId="0" borderId="0" xfId="0" applyFont="1" applyAlignment="1">
      <alignment vertical="center" wrapText="1"/>
    </xf>
    <xf numFmtId="177" fontId="6" fillId="0" borderId="0" xfId="0" applyNumberFormat="1" applyFont="1" applyAlignment="1">
      <alignment vertical="top" wrapText="1"/>
    </xf>
    <xf numFmtId="0" fontId="3" fillId="2" borderId="0" xfId="0" applyFont="1" applyFill="1" applyAlignment="1">
      <alignment vertical="top" wrapText="1"/>
    </xf>
    <xf numFmtId="0" fontId="50" fillId="0" borderId="0" xfId="2" applyProtection="1"/>
    <xf numFmtId="180" fontId="6" fillId="0" borderId="51" xfId="0" applyNumberFormat="1" applyFont="1" applyBorder="1" applyAlignment="1">
      <alignment horizontal="right" vertical="center"/>
    </xf>
    <xf numFmtId="180" fontId="6" fillId="0" borderId="46" xfId="0" applyNumberFormat="1" applyFont="1" applyBorder="1" applyAlignment="1">
      <alignment horizontal="right"/>
    </xf>
    <xf numFmtId="180" fontId="3" fillId="0" borderId="130" xfId="0" applyNumberFormat="1" applyFont="1" applyBorder="1" applyAlignment="1">
      <alignment horizontal="right"/>
    </xf>
    <xf numFmtId="181" fontId="6" fillId="0" borderId="129" xfId="0" applyNumberFormat="1" applyFont="1" applyBorder="1" applyAlignment="1">
      <alignment horizontal="right"/>
    </xf>
    <xf numFmtId="178" fontId="21" fillId="4" borderId="50" xfId="0" applyNumberFormat="1" applyFont="1" applyFill="1" applyBorder="1" applyAlignment="1">
      <alignment vertical="center"/>
    </xf>
    <xf numFmtId="0" fontId="6" fillId="0" borderId="42" xfId="0" applyFont="1" applyBorder="1"/>
    <xf numFmtId="0" fontId="6" fillId="0" borderId="0" xfId="0" applyFont="1" applyAlignment="1">
      <alignment horizontal="center" vertical="center" wrapText="1"/>
    </xf>
    <xf numFmtId="180" fontId="3" fillId="0" borderId="58" xfId="0" applyNumberFormat="1" applyFont="1" applyBorder="1" applyAlignment="1">
      <alignment horizontal="right" vertical="center"/>
    </xf>
    <xf numFmtId="180" fontId="6" fillId="0" borderId="43" xfId="0" applyNumberFormat="1" applyFont="1" applyBorder="1" applyAlignment="1">
      <alignment horizontal="right"/>
    </xf>
    <xf numFmtId="180" fontId="3" fillId="0" borderId="8" xfId="0" applyNumberFormat="1" applyFont="1" applyBorder="1" applyAlignment="1">
      <alignment horizontal="right"/>
    </xf>
    <xf numFmtId="180" fontId="3" fillId="0" borderId="9" xfId="0" applyNumberFormat="1" applyFont="1" applyBorder="1" applyAlignment="1">
      <alignment horizontal="right"/>
    </xf>
    <xf numFmtId="181" fontId="6" fillId="0" borderId="28" xfId="0" applyNumberFormat="1" applyFont="1" applyBorder="1" applyAlignment="1">
      <alignment horizontal="right"/>
    </xf>
    <xf numFmtId="178" fontId="21" fillId="4" borderId="8" xfId="0" applyNumberFormat="1" applyFont="1" applyFill="1" applyBorder="1" applyAlignment="1">
      <alignment vertical="center"/>
    </xf>
    <xf numFmtId="0" fontId="0" fillId="0" borderId="36" xfId="0"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right"/>
    </xf>
    <xf numFmtId="0" fontId="3" fillId="0" borderId="0" xfId="0" applyFont="1" applyAlignment="1">
      <alignment horizontal="right"/>
    </xf>
    <xf numFmtId="0" fontId="6" fillId="0" borderId="34" xfId="0" applyFont="1" applyBorder="1" applyAlignment="1">
      <alignment horizont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10" fillId="0" borderId="56" xfId="0" applyFont="1" applyBorder="1" applyAlignment="1">
      <alignment horizontal="center" vertical="center"/>
    </xf>
    <xf numFmtId="0" fontId="6" fillId="0" borderId="66" xfId="0" applyFont="1" applyBorder="1" applyAlignment="1">
      <alignment horizontal="center" vertical="center"/>
    </xf>
    <xf numFmtId="0" fontId="0" fillId="0" borderId="68" xfId="0" applyBorder="1" applyAlignment="1">
      <alignment horizontal="center" vertical="center"/>
    </xf>
    <xf numFmtId="181" fontId="21" fillId="4" borderId="3" xfId="0" applyNumberFormat="1" applyFont="1" applyFill="1" applyBorder="1" applyAlignment="1">
      <alignment horizontal="center" vertical="center"/>
    </xf>
    <xf numFmtId="0" fontId="6" fillId="0" borderId="16" xfId="0" applyFont="1" applyBorder="1" applyAlignment="1">
      <alignment horizontal="center"/>
    </xf>
    <xf numFmtId="181" fontId="6" fillId="0" borderId="50" xfId="0" applyNumberFormat="1" applyFont="1" applyBorder="1"/>
    <xf numFmtId="181" fontId="6" fillId="0" borderId="3" xfId="0" applyNumberFormat="1" applyFont="1" applyBorder="1" applyAlignment="1">
      <alignment horizontal="right"/>
    </xf>
    <xf numFmtId="181" fontId="6" fillId="0" borderId="46" xfId="0" applyNumberFormat="1" applyFont="1" applyBorder="1" applyAlignment="1">
      <alignment horizontal="right"/>
    </xf>
    <xf numFmtId="0" fontId="0" fillId="0" borderId="54" xfId="0" applyBorder="1" applyAlignment="1">
      <alignment horizontal="center" vertical="center"/>
    </xf>
    <xf numFmtId="0" fontId="0" fillId="0" borderId="109" xfId="0" applyBorder="1" applyAlignment="1">
      <alignment horizontal="center" vertical="center"/>
    </xf>
    <xf numFmtId="183" fontId="21" fillId="4" borderId="11" xfId="0" applyNumberFormat="1" applyFont="1" applyFill="1" applyBorder="1" applyAlignment="1">
      <alignment horizontal="center" vertical="center"/>
    </xf>
    <xf numFmtId="0" fontId="6" fillId="0" borderId="22" xfId="0" applyFont="1" applyBorder="1" applyAlignment="1">
      <alignment horizontal="center"/>
    </xf>
    <xf numFmtId="181" fontId="6" fillId="0" borderId="8" xfId="0" applyNumberFormat="1" applyFont="1" applyBorder="1"/>
    <xf numFmtId="181" fontId="6" fillId="0" borderId="11" xfId="0" applyNumberFormat="1" applyFont="1" applyBorder="1" applyAlignment="1">
      <alignment horizontal="right"/>
    </xf>
    <xf numFmtId="181" fontId="6" fillId="0" borderId="43" xfId="0" applyNumberFormat="1" applyFont="1" applyBorder="1" applyAlignment="1">
      <alignment horizontal="right"/>
    </xf>
    <xf numFmtId="0" fontId="0" fillId="0" borderId="9" xfId="0" applyBorder="1" applyAlignment="1">
      <alignment horizontal="center" vertical="center"/>
    </xf>
    <xf numFmtId="0" fontId="6" fillId="0" borderId="0" xfId="0" applyFont="1" applyAlignment="1">
      <alignment vertical="top"/>
    </xf>
    <xf numFmtId="181" fontId="6" fillId="0" borderId="0" xfId="0" applyNumberFormat="1" applyFont="1" applyAlignment="1">
      <alignment horizontal="right"/>
    </xf>
    <xf numFmtId="0" fontId="10" fillId="0" borderId="0" xfId="0" applyFont="1" applyAlignment="1">
      <alignment vertical="top" wrapText="1"/>
    </xf>
    <xf numFmtId="0" fontId="10" fillId="0" borderId="0" xfId="0" applyFont="1" applyAlignment="1">
      <alignment vertical="top"/>
    </xf>
    <xf numFmtId="0" fontId="0" fillId="0" borderId="60" xfId="0" applyBorder="1" applyAlignment="1">
      <alignment horizontal="center" vertical="center"/>
    </xf>
    <xf numFmtId="0" fontId="6" fillId="0" borderId="34" xfId="0" applyFont="1" applyBorder="1" applyAlignment="1">
      <alignment vertical="center"/>
    </xf>
    <xf numFmtId="0" fontId="6" fillId="0" borderId="64" xfId="0" applyFont="1" applyBorder="1" applyAlignment="1">
      <alignment vertical="center"/>
    </xf>
    <xf numFmtId="0" fontId="6" fillId="0" borderId="65" xfId="0" applyFont="1" applyBorder="1" applyAlignment="1">
      <alignment vertical="center"/>
    </xf>
    <xf numFmtId="0" fontId="10" fillId="0" borderId="65" xfId="0" applyFont="1" applyBorder="1" applyAlignment="1">
      <alignment vertical="center"/>
    </xf>
    <xf numFmtId="0" fontId="10" fillId="0" borderId="65" xfId="0" applyFont="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6" fillId="0" borderId="20" xfId="0" applyFont="1" applyBorder="1" applyAlignment="1">
      <alignment horizontal="center"/>
    </xf>
    <xf numFmtId="181" fontId="6" fillId="0" borderId="6" xfId="0" applyNumberFormat="1" applyFont="1" applyBorder="1"/>
    <xf numFmtId="181" fontId="6" fillId="0" borderId="1" xfId="0" applyNumberFormat="1" applyFont="1" applyBorder="1" applyAlignment="1">
      <alignment horizontal="right"/>
    </xf>
    <xf numFmtId="0" fontId="0" fillId="0" borderId="18" xfId="0" applyBorder="1" applyAlignment="1">
      <alignment horizontal="center" vertical="center"/>
    </xf>
    <xf numFmtId="0" fontId="0" fillId="0" borderId="117" xfId="0" applyBorder="1" applyAlignment="1">
      <alignment horizontal="center" vertical="center"/>
    </xf>
    <xf numFmtId="0" fontId="6" fillId="0" borderId="32" xfId="0" applyFont="1" applyBorder="1" applyAlignment="1">
      <alignment horizontal="center"/>
    </xf>
    <xf numFmtId="181" fontId="6" fillId="0" borderId="116" xfId="0" applyNumberFormat="1" applyFont="1" applyBorder="1"/>
    <xf numFmtId="181" fontId="6" fillId="0" borderId="53" xfId="0" applyNumberFormat="1" applyFont="1" applyBorder="1" applyAlignment="1">
      <alignment horizontal="right"/>
    </xf>
    <xf numFmtId="0" fontId="34" fillId="0" borderId="34" xfId="0" applyFont="1" applyBorder="1" applyAlignment="1">
      <alignment wrapText="1"/>
    </xf>
    <xf numFmtId="0" fontId="34" fillId="0" borderId="56" xfId="0" applyFont="1" applyBorder="1" applyAlignment="1">
      <alignment vertical="center" wrapText="1"/>
    </xf>
    <xf numFmtId="0" fontId="34" fillId="0" borderId="64" xfId="0" applyFont="1" applyBorder="1" applyAlignment="1">
      <alignment vertical="center"/>
    </xf>
    <xf numFmtId="0" fontId="34" fillId="0" borderId="65" xfId="0" applyFont="1" applyBorder="1" applyAlignment="1">
      <alignment vertical="center" wrapText="1"/>
    </xf>
    <xf numFmtId="0" fontId="34" fillId="0" borderId="66" xfId="0" applyFont="1" applyBorder="1" applyAlignment="1">
      <alignment vertical="center" wrapText="1"/>
    </xf>
    <xf numFmtId="0" fontId="34" fillId="0" borderId="46" xfId="0" applyFont="1" applyBorder="1" applyAlignment="1">
      <alignment wrapText="1"/>
    </xf>
    <xf numFmtId="0" fontId="34" fillId="0" borderId="50" xfId="0" applyFont="1" applyBorder="1"/>
    <xf numFmtId="0" fontId="34" fillId="0" borderId="3" xfId="0" applyFont="1" applyBorder="1" applyAlignment="1">
      <alignment wrapText="1"/>
    </xf>
    <xf numFmtId="0" fontId="34" fillId="0" borderId="54" xfId="0" applyFont="1" applyBorder="1" applyAlignment="1">
      <alignment wrapText="1"/>
    </xf>
    <xf numFmtId="0" fontId="0" fillId="0" borderId="0" xfId="0" applyAlignment="1">
      <alignment horizontal="left"/>
    </xf>
    <xf numFmtId="0" fontId="34" fillId="0" borderId="12" xfId="0" applyFont="1" applyBorder="1"/>
    <xf numFmtId="0" fontId="34" fillId="0" borderId="6" xfId="0" applyFont="1" applyBorder="1"/>
    <xf numFmtId="0" fontId="34" fillId="0" borderId="1" xfId="0" applyFont="1" applyBorder="1"/>
    <xf numFmtId="0" fontId="34" fillId="0" borderId="7" xfId="0" applyFont="1" applyBorder="1"/>
    <xf numFmtId="0" fontId="6" fillId="0" borderId="0" xfId="0" applyFont="1" applyAlignment="1">
      <alignment vertical="center"/>
    </xf>
    <xf numFmtId="0" fontId="34" fillId="0" borderId="44" xfId="0" applyFont="1" applyBorder="1" applyAlignment="1">
      <alignment wrapText="1"/>
    </xf>
    <xf numFmtId="0" fontId="34" fillId="0" borderId="17" xfId="0" applyFont="1" applyBorder="1"/>
    <xf numFmtId="0" fontId="34" fillId="0" borderId="2" xfId="0" applyFont="1" applyBorder="1"/>
    <xf numFmtId="0" fontId="34" fillId="0" borderId="18" xfId="0" applyFont="1" applyBorder="1"/>
    <xf numFmtId="0" fontId="34" fillId="0" borderId="43" xfId="0" applyFont="1" applyBorder="1" applyAlignment="1">
      <alignment wrapText="1"/>
    </xf>
    <xf numFmtId="0" fontId="34" fillId="0" borderId="8" xfId="0" applyFont="1" applyBorder="1"/>
    <xf numFmtId="0" fontId="34" fillId="0" borderId="11" xfId="0" applyFont="1" applyBorder="1"/>
    <xf numFmtId="0" fontId="34" fillId="0" borderId="9" xfId="0" applyFont="1" applyBorder="1"/>
    <xf numFmtId="0" fontId="34" fillId="0" borderId="45" xfId="0" applyFont="1" applyBorder="1" applyAlignment="1">
      <alignment wrapText="1"/>
    </xf>
    <xf numFmtId="0" fontId="34" fillId="0" borderId="4" xfId="0" applyFont="1" applyBorder="1"/>
    <xf numFmtId="0" fontId="34" fillId="0" borderId="10" xfId="0" applyFont="1" applyBorder="1" applyAlignment="1">
      <alignment wrapText="1"/>
    </xf>
    <xf numFmtId="0" fontId="34" fillId="0" borderId="5" xfId="0" applyFont="1" applyBorder="1" applyAlignment="1">
      <alignment wrapText="1"/>
    </xf>
    <xf numFmtId="0" fontId="34" fillId="0" borderId="0" xfId="0" applyFont="1"/>
    <xf numFmtId="0" fontId="6" fillId="0" borderId="1" xfId="0" applyFont="1" applyBorder="1" applyAlignment="1">
      <alignment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6" fillId="0" borderId="11" xfId="0" applyFont="1" applyBorder="1" applyAlignment="1">
      <alignment horizontal="center" vertical="center"/>
    </xf>
    <xf numFmtId="0" fontId="0" fillId="0" borderId="45" xfId="0" applyBorder="1" applyAlignment="1">
      <alignment horizontal="center" vertical="center"/>
    </xf>
    <xf numFmtId="178" fontId="21" fillId="4" borderId="19" xfId="0" applyNumberFormat="1" applyFont="1" applyFill="1" applyBorder="1" applyAlignment="1">
      <alignment horizontal="center" vertical="center"/>
    </xf>
    <xf numFmtId="0" fontId="34" fillId="0" borderId="0" xfId="0" applyFont="1" applyAlignment="1">
      <alignment wrapText="1"/>
    </xf>
    <xf numFmtId="0" fontId="6" fillId="0" borderId="31" xfId="0" applyFont="1" applyBorder="1" applyAlignment="1">
      <alignment vertical="center"/>
    </xf>
    <xf numFmtId="178" fontId="21" fillId="4" borderId="20" xfId="0" applyNumberFormat="1" applyFont="1" applyFill="1" applyBorder="1" applyAlignment="1">
      <alignment horizontal="center" vertical="center"/>
    </xf>
    <xf numFmtId="0" fontId="23" fillId="0" borderId="0" xfId="0" applyFont="1" applyAlignment="1">
      <alignment wrapText="1"/>
    </xf>
    <xf numFmtId="0" fontId="23" fillId="0" borderId="19" xfId="0" applyFont="1" applyBorder="1" applyAlignment="1">
      <alignment wrapText="1"/>
    </xf>
    <xf numFmtId="0" fontId="23" fillId="0" borderId="10" xfId="0" applyFont="1" applyBorder="1" applyAlignment="1">
      <alignment wrapText="1"/>
    </xf>
    <xf numFmtId="0" fontId="23" fillId="0" borderId="10" xfId="0" applyFont="1" applyBorder="1"/>
    <xf numFmtId="0" fontId="0" fillId="0" borderId="47" xfId="0" applyBorder="1" applyAlignment="1">
      <alignment horizontal="center" vertical="center"/>
    </xf>
    <xf numFmtId="0" fontId="23" fillId="0" borderId="20" xfId="0" applyFont="1" applyBorder="1" applyAlignment="1">
      <alignment wrapText="1"/>
    </xf>
    <xf numFmtId="0" fontId="23" fillId="0" borderId="1" xfId="0" applyFont="1" applyBorder="1" applyAlignment="1">
      <alignment wrapText="1"/>
    </xf>
    <xf numFmtId="0" fontId="23" fillId="0" borderId="1" xfId="0" applyFont="1" applyBorder="1"/>
    <xf numFmtId="0" fontId="3" fillId="0" borderId="1" xfId="0" applyFont="1" applyBorder="1"/>
    <xf numFmtId="0" fontId="0" fillId="0" borderId="33" xfId="0" applyBorder="1" applyAlignment="1">
      <alignment horizontal="center" vertical="center"/>
    </xf>
    <xf numFmtId="0" fontId="0" fillId="0" borderId="46" xfId="0" applyBorder="1" applyAlignment="1">
      <alignment horizontal="center" vertical="center"/>
    </xf>
    <xf numFmtId="178" fontId="21" fillId="4" borderId="16" xfId="0" applyNumberFormat="1" applyFont="1" applyFill="1" applyBorder="1" applyAlignment="1">
      <alignment horizontal="center" vertical="center"/>
    </xf>
    <xf numFmtId="0" fontId="23" fillId="0" borderId="6" xfId="0" applyFont="1" applyBorder="1"/>
    <xf numFmtId="0" fontId="23" fillId="0" borderId="8" xfId="0" applyFont="1" applyBorder="1"/>
    <xf numFmtId="0" fontId="3" fillId="0" borderId="11" xfId="0" applyFont="1" applyBorder="1"/>
    <xf numFmtId="0" fontId="3" fillId="0" borderId="50" xfId="0" applyFont="1" applyBorder="1"/>
    <xf numFmtId="0" fontId="3" fillId="0" borderId="3" xfId="0" applyFont="1" applyBorder="1"/>
    <xf numFmtId="178" fontId="7" fillId="0" borderId="0" xfId="0" applyNumberFormat="1" applyFont="1" applyAlignment="1">
      <alignment horizontal="center" vertical="center"/>
    </xf>
    <xf numFmtId="0" fontId="33" fillId="0" borderId="0" xfId="0" applyFont="1" applyAlignment="1" applyProtection="1">
      <alignment horizontal="center" vertical="center" wrapText="1"/>
      <protection locked="0"/>
    </xf>
    <xf numFmtId="0" fontId="7" fillId="0" borderId="0" xfId="0" applyFont="1" applyAlignment="1">
      <alignment horizontal="center" vertical="top" wrapText="1"/>
    </xf>
    <xf numFmtId="180" fontId="6" fillId="0" borderId="54" xfId="0" applyNumberFormat="1" applyFont="1" applyBorder="1" applyAlignment="1">
      <alignment horizontal="right"/>
    </xf>
    <xf numFmtId="0" fontId="6" fillId="0" borderId="116" xfId="0" applyFont="1" applyBorder="1"/>
    <xf numFmtId="0" fontId="34" fillId="0" borderId="0" xfId="0" applyFont="1" applyAlignment="1">
      <alignment horizontal="center" vertical="center" wrapText="1"/>
    </xf>
    <xf numFmtId="0" fontId="7" fillId="0" borderId="0" xfId="0" applyFont="1" applyAlignment="1" applyProtection="1">
      <alignment horizontal="center" vertical="top" wrapText="1"/>
      <protection locked="0"/>
    </xf>
    <xf numFmtId="178" fontId="7" fillId="0" borderId="0" xfId="0" applyNumberFormat="1" applyFont="1" applyAlignment="1" applyProtection="1">
      <alignment horizontal="center" vertical="center" wrapText="1"/>
      <protection locked="0"/>
    </xf>
    <xf numFmtId="0" fontId="0" fillId="0" borderId="0" xfId="0" applyAlignment="1" applyProtection="1">
      <alignment horizontal="center" shrinkToFit="1"/>
      <protection locked="0"/>
    </xf>
    <xf numFmtId="0" fontId="26" fillId="0" borderId="0" xfId="0" applyFont="1" applyAlignment="1">
      <alignment horizontal="center" vertical="center"/>
    </xf>
    <xf numFmtId="0" fontId="28" fillId="2" borderId="0" xfId="0" applyFont="1" applyFill="1" applyAlignment="1">
      <alignment horizontal="center"/>
    </xf>
    <xf numFmtId="0" fontId="60" fillId="2" borderId="0" xfId="0" applyFont="1" applyFill="1" applyAlignment="1">
      <alignment horizontal="right" vertical="center"/>
    </xf>
    <xf numFmtId="0" fontId="27" fillId="2" borderId="0" xfId="0" applyFont="1" applyFill="1"/>
    <xf numFmtId="0" fontId="6" fillId="2" borderId="0" xfId="0" applyFont="1" applyFill="1" applyAlignment="1">
      <alignment horizontal="right" vertical="top" wrapText="1"/>
    </xf>
    <xf numFmtId="0" fontId="6" fillId="2" borderId="0" xfId="0" applyFont="1" applyFill="1" applyAlignment="1">
      <alignment vertical="top" wrapText="1"/>
    </xf>
    <xf numFmtId="0" fontId="25" fillId="2" borderId="27" xfId="0" applyFont="1" applyFill="1" applyBorder="1" applyAlignment="1">
      <alignment horizontal="left" vertical="center" wrapText="1"/>
    </xf>
    <xf numFmtId="0" fontId="6" fillId="2" borderId="0" xfId="0" applyFont="1" applyFill="1"/>
    <xf numFmtId="0" fontId="15" fillId="2" borderId="0" xfId="0" applyFont="1" applyFill="1"/>
    <xf numFmtId="0" fontId="7" fillId="2" borderId="0" xfId="0" applyFont="1" applyFill="1"/>
    <xf numFmtId="0" fontId="7" fillId="2" borderId="0" xfId="0" applyFont="1" applyFill="1" applyAlignment="1">
      <alignment horizontal="center"/>
    </xf>
    <xf numFmtId="0" fontId="7" fillId="2" borderId="0" xfId="0" applyFont="1" applyFill="1" applyAlignment="1">
      <alignment vertical="center"/>
    </xf>
    <xf numFmtId="0" fontId="7" fillId="2" borderId="0" xfId="0" applyFont="1" applyFill="1" applyAlignment="1">
      <alignment vertical="center" wrapText="1"/>
    </xf>
    <xf numFmtId="14" fontId="0" fillId="0" borderId="1" xfId="0" applyNumberFormat="1" applyBorder="1" applyAlignment="1">
      <alignment vertical="center"/>
    </xf>
    <xf numFmtId="0" fontId="3" fillId="0" borderId="1" xfId="0" applyFont="1" applyBorder="1" applyAlignment="1">
      <alignment horizontal="center" vertical="center"/>
    </xf>
    <xf numFmtId="0" fontId="28" fillId="2" borderId="0" xfId="0" applyFont="1" applyFill="1"/>
    <xf numFmtId="0" fontId="25" fillId="2" borderId="20" xfId="0" applyFont="1" applyFill="1" applyBorder="1" applyAlignment="1">
      <alignment horizontal="center" vertical="center" wrapText="1"/>
    </xf>
    <xf numFmtId="0" fontId="6" fillId="2" borderId="32" xfId="0" applyFont="1" applyFill="1" applyBorder="1" applyAlignment="1">
      <alignment horizontal="right" vertical="center"/>
    </xf>
    <xf numFmtId="0" fontId="6" fillId="0" borderId="145" xfId="0" applyFont="1" applyBorder="1" applyAlignment="1">
      <alignment horizontal="center"/>
    </xf>
    <xf numFmtId="0" fontId="6" fillId="0" borderId="146" xfId="0" applyFont="1" applyBorder="1" applyAlignment="1">
      <alignment horizontal="center"/>
    </xf>
    <xf numFmtId="0" fontId="48" fillId="2" borderId="1" xfId="0" applyFont="1" applyFill="1" applyBorder="1" applyAlignment="1">
      <alignment horizontal="center" vertical="center" wrapText="1"/>
    </xf>
    <xf numFmtId="0" fontId="0" fillId="2" borderId="0" xfId="0" applyFill="1"/>
    <xf numFmtId="58" fontId="0" fillId="2" borderId="0" xfId="0" applyNumberFormat="1" applyFill="1" applyAlignment="1">
      <alignment horizontal="right" wrapText="1"/>
    </xf>
    <xf numFmtId="0" fontId="0" fillId="2" borderId="0" xfId="0" applyFill="1" applyAlignment="1">
      <alignment wrapText="1"/>
    </xf>
    <xf numFmtId="0" fontId="0" fillId="2" borderId="0" xfId="0" applyFill="1" applyAlignment="1">
      <alignment horizontal="center"/>
    </xf>
    <xf numFmtId="0" fontId="0" fillId="2" borderId="0" xfId="0" applyFill="1" applyAlignment="1">
      <alignment vertical="center"/>
    </xf>
    <xf numFmtId="0" fontId="0" fillId="2" borderId="0" xfId="0" applyFill="1" applyAlignment="1">
      <alignment vertical="center" wrapText="1"/>
    </xf>
    <xf numFmtId="0" fontId="0" fillId="2" borderId="0" xfId="0" applyFill="1" applyAlignment="1">
      <alignment horizontal="left" vertical="top" wrapText="1"/>
    </xf>
    <xf numFmtId="0" fontId="0" fillId="2" borderId="0" xfId="0" applyFill="1" applyAlignment="1">
      <alignment horizontal="left" vertical="center"/>
    </xf>
    <xf numFmtId="0" fontId="0" fillId="2" borderId="40"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45" xfId="0" applyFill="1" applyBorder="1" applyAlignment="1">
      <alignment horizontal="center"/>
    </xf>
    <xf numFmtId="0" fontId="0" fillId="2" borderId="26" xfId="0" applyFill="1" applyBorder="1" applyAlignment="1">
      <alignment horizontal="right"/>
    </xf>
    <xf numFmtId="0" fontId="0" fillId="2" borderId="19" xfId="0" applyFill="1" applyBorder="1" applyAlignment="1">
      <alignment horizontal="right" vertical="center"/>
    </xf>
    <xf numFmtId="0" fontId="0" fillId="2" borderId="27" xfId="0" applyFill="1" applyBorder="1" applyAlignment="1">
      <alignment horizontal="right" vertical="center"/>
    </xf>
    <xf numFmtId="0" fontId="0" fillId="2" borderId="20" xfId="0" applyFill="1" applyBorder="1" applyAlignment="1">
      <alignment horizontal="right" vertical="center"/>
    </xf>
    <xf numFmtId="0" fontId="0" fillId="2" borderId="20" xfId="0" applyFill="1" applyBorder="1" applyAlignment="1">
      <alignment horizontal="center" vertical="center"/>
    </xf>
    <xf numFmtId="0" fontId="0" fillId="2" borderId="12" xfId="0" applyFill="1" applyBorder="1" applyAlignment="1">
      <alignment vertical="center" wrapText="1"/>
    </xf>
    <xf numFmtId="0" fontId="0" fillId="2" borderId="27" xfId="0" applyFill="1" applyBorder="1" applyAlignment="1">
      <alignment vertical="center" wrapText="1"/>
    </xf>
    <xf numFmtId="0" fontId="0" fillId="2" borderId="20" xfId="0" applyFill="1" applyBorder="1" applyAlignment="1">
      <alignment vertical="center"/>
    </xf>
    <xf numFmtId="0" fontId="0" fillId="2" borderId="12" xfId="0"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43" xfId="0" applyFill="1" applyBorder="1" applyAlignment="1">
      <alignment vertical="center"/>
    </xf>
    <xf numFmtId="0" fontId="0" fillId="2" borderId="28" xfId="0" applyFill="1" applyBorder="1" applyAlignment="1">
      <alignment vertical="center"/>
    </xf>
    <xf numFmtId="0" fontId="0" fillId="2" borderId="22" xfId="0" applyFill="1" applyBorder="1" applyAlignment="1">
      <alignment vertical="center"/>
    </xf>
    <xf numFmtId="176" fontId="0" fillId="2" borderId="0" xfId="0" applyNumberFormat="1" applyFill="1"/>
    <xf numFmtId="176" fontId="0" fillId="2" borderId="0" xfId="0" applyNumberFormat="1" applyFill="1" applyAlignment="1">
      <alignment horizontal="left" vertical="top" wrapText="1"/>
    </xf>
    <xf numFmtId="176" fontId="0" fillId="2" borderId="0" xfId="0" applyNumberFormat="1" applyFill="1" applyAlignment="1">
      <alignment wrapText="1"/>
    </xf>
    <xf numFmtId="0" fontId="0" fillId="2" borderId="0" xfId="0" applyFill="1" applyAlignment="1">
      <alignment horizontal="left" vertical="top"/>
    </xf>
    <xf numFmtId="0" fontId="0" fillId="2" borderId="34" xfId="0" applyFill="1" applyBorder="1" applyAlignment="1">
      <alignment horizontal="center" vertical="center" wrapText="1"/>
    </xf>
    <xf numFmtId="0" fontId="0" fillId="2" borderId="48" xfId="0" applyFill="1" applyBorder="1" applyAlignment="1">
      <alignment vertical="center"/>
    </xf>
    <xf numFmtId="0" fontId="0" fillId="2" borderId="144" xfId="0" applyFill="1" applyBorder="1" applyAlignment="1">
      <alignment vertical="center"/>
    </xf>
    <xf numFmtId="0" fontId="0" fillId="2" borderId="16" xfId="0" applyFill="1" applyBorder="1" applyAlignment="1">
      <alignment vertical="center"/>
    </xf>
    <xf numFmtId="0" fontId="0" fillId="2" borderId="49" xfId="0" applyFill="1" applyBorder="1" applyAlignment="1">
      <alignment vertical="center"/>
    </xf>
    <xf numFmtId="0" fontId="0" fillId="2" borderId="114" xfId="0" applyFill="1" applyBorder="1" applyAlignment="1">
      <alignment vertical="center"/>
    </xf>
    <xf numFmtId="0" fontId="0" fillId="2" borderId="21" xfId="0" applyFill="1" applyBorder="1" applyAlignment="1">
      <alignment horizontal="center" vertical="center"/>
    </xf>
    <xf numFmtId="0" fontId="0" fillId="2" borderId="47" xfId="0" applyFill="1" applyBorder="1" applyAlignment="1">
      <alignment vertical="center" wrapText="1"/>
    </xf>
    <xf numFmtId="0" fontId="0" fillId="2" borderId="32" xfId="0" applyFill="1" applyBorder="1" applyAlignment="1">
      <alignment horizontal="right" vertical="center"/>
    </xf>
    <xf numFmtId="0" fontId="0" fillId="2" borderId="0" xfId="0" applyFill="1" applyAlignment="1">
      <alignment horizontal="center" wrapText="1"/>
    </xf>
    <xf numFmtId="0" fontId="48" fillId="2" borderId="1" xfId="0" applyFont="1" applyFill="1" applyBorder="1" applyAlignment="1">
      <alignment vertical="center" wrapText="1"/>
    </xf>
    <xf numFmtId="0" fontId="49" fillId="2" borderId="1" xfId="0" applyFont="1" applyFill="1" applyBorder="1" applyAlignment="1">
      <alignment vertical="center" wrapText="1"/>
    </xf>
    <xf numFmtId="0" fontId="8" fillId="0" borderId="0" xfId="0" applyFont="1"/>
    <xf numFmtId="0" fontId="8" fillId="0" borderId="0" xfId="0" applyFont="1" applyAlignment="1">
      <alignment wrapText="1"/>
    </xf>
    <xf numFmtId="0" fontId="8" fillId="0" borderId="0" xfId="0" applyFont="1" applyAlignment="1">
      <alignment horizontal="center" vertical="center"/>
    </xf>
    <xf numFmtId="0" fontId="2" fillId="0" borderId="0" xfId="0" applyFont="1" applyAlignment="1">
      <alignment vertical="top" wrapText="1"/>
    </xf>
    <xf numFmtId="0" fontId="8" fillId="0" borderId="0" xfId="0" applyFont="1" applyAlignment="1">
      <alignment vertical="top" wrapText="1"/>
    </xf>
    <xf numFmtId="0" fontId="33" fillId="0" borderId="0" xfId="0" applyFont="1" applyAlignment="1">
      <alignment horizontal="center" vertical="center" wrapText="1"/>
    </xf>
    <xf numFmtId="178" fontId="24" fillId="4" borderId="10" xfId="0" applyNumberFormat="1" applyFont="1" applyFill="1" applyBorder="1" applyAlignment="1">
      <alignment horizontal="center" vertical="center" wrapText="1"/>
    </xf>
    <xf numFmtId="178" fontId="24" fillId="4" borderId="1" xfId="0" applyNumberFormat="1" applyFont="1" applyFill="1" applyBorder="1" applyAlignment="1">
      <alignment horizontal="center" vertical="center" wrapText="1"/>
    </xf>
    <xf numFmtId="178" fontId="24" fillId="4" borderId="11" xfId="0" applyNumberFormat="1" applyFont="1" applyFill="1" applyBorder="1" applyAlignment="1">
      <alignment horizontal="center" vertical="center" wrapText="1"/>
    </xf>
    <xf numFmtId="178" fontId="24" fillId="4" borderId="3" xfId="0" applyNumberFormat="1" applyFont="1" applyFill="1" applyBorder="1" applyAlignment="1">
      <alignment horizontal="center" vertical="center" wrapText="1"/>
    </xf>
    <xf numFmtId="178" fontId="24" fillId="4" borderId="57" xfId="0" applyNumberFormat="1" applyFont="1" applyFill="1" applyBorder="1" applyAlignment="1">
      <alignment horizontal="center" vertical="center" wrapText="1"/>
    </xf>
    <xf numFmtId="178" fontId="24" fillId="4" borderId="53" xfId="0" applyNumberFormat="1" applyFont="1" applyFill="1" applyBorder="1" applyAlignment="1">
      <alignment horizontal="center" vertical="center" wrapText="1"/>
    </xf>
    <xf numFmtId="0" fontId="15" fillId="0" borderId="0" xfId="0" applyFont="1" applyAlignment="1">
      <alignment horizontal="left" vertical="top" wrapText="1"/>
    </xf>
    <xf numFmtId="0" fontId="15" fillId="0" borderId="0" xfId="0" applyFont="1" applyAlignment="1">
      <alignment horizontal="left" vertical="center" wrapText="1"/>
    </xf>
    <xf numFmtId="0" fontId="0" fillId="0" borderId="0" xfId="0" applyAlignment="1">
      <alignment horizontal="right"/>
    </xf>
    <xf numFmtId="179" fontId="0" fillId="0" borderId="0" xfId="0" applyNumberFormat="1" applyProtection="1">
      <protection locked="0"/>
    </xf>
    <xf numFmtId="0" fontId="0" fillId="0" borderId="0" xfId="0" applyAlignment="1" applyProtection="1">
      <alignment shrinkToFit="1"/>
      <protection locked="0"/>
    </xf>
    <xf numFmtId="0" fontId="6" fillId="0" borderId="0" xfId="0" applyFont="1" applyAlignment="1">
      <alignment shrinkToFit="1"/>
    </xf>
    <xf numFmtId="0" fontId="6" fillId="0" borderId="0" xfId="0" applyFont="1" applyAlignment="1" applyProtection="1">
      <alignment shrinkToFit="1"/>
      <protection locked="0"/>
    </xf>
    <xf numFmtId="0" fontId="16" fillId="0" borderId="0" xfId="0" applyFont="1" applyAlignment="1">
      <alignment vertical="center" shrinkToFit="1"/>
    </xf>
    <xf numFmtId="0" fontId="46" fillId="0" borderId="0" xfId="0" applyFont="1" applyAlignment="1">
      <alignment horizontal="center" vertical="center"/>
    </xf>
    <xf numFmtId="0" fontId="6" fillId="0" borderId="0" xfId="0" applyFont="1" applyAlignment="1">
      <alignment horizontal="left" shrinkToFit="1"/>
    </xf>
    <xf numFmtId="0" fontId="29" fillId="0" borderId="0" xfId="0" applyFont="1" applyAlignment="1">
      <alignment horizontal="center" vertical="center"/>
    </xf>
    <xf numFmtId="0" fontId="6" fillId="0" borderId="0" xfId="0" applyFont="1" applyAlignment="1">
      <alignment horizontal="left" wrapText="1"/>
    </xf>
    <xf numFmtId="0" fontId="10" fillId="0" borderId="0" xfId="0" applyFont="1" applyAlignment="1">
      <alignment horizontal="center" vertical="center" wrapText="1"/>
    </xf>
    <xf numFmtId="0" fontId="16" fillId="0" borderId="0" xfId="0" applyFont="1" applyAlignment="1">
      <alignment horizontal="center" vertical="center" wrapText="1"/>
    </xf>
    <xf numFmtId="0" fontId="6" fillId="3"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25" fillId="3" borderId="10" xfId="0" applyFont="1" applyFill="1" applyBorder="1" applyAlignment="1">
      <alignment horizontal="left" vertical="center" wrapText="1" shrinkToFit="1"/>
    </xf>
    <xf numFmtId="178" fontId="7" fillId="4" borderId="10" xfId="0" applyNumberFormat="1" applyFont="1" applyFill="1" applyBorder="1" applyAlignment="1">
      <alignment horizontal="center" vertical="center" wrapText="1"/>
    </xf>
    <xf numFmtId="178" fontId="7" fillId="0" borderId="0" xfId="0" applyNumberFormat="1" applyFont="1" applyAlignment="1">
      <alignment horizontal="center" vertical="center" wrapText="1"/>
    </xf>
    <xf numFmtId="0" fontId="25" fillId="3" borderId="1" xfId="0" applyFont="1" applyFill="1" applyBorder="1" applyAlignment="1">
      <alignment horizontal="left" vertical="center" wrapText="1" shrinkToFit="1"/>
    </xf>
    <xf numFmtId="178" fontId="7" fillId="4" borderId="1" xfId="0" applyNumberFormat="1" applyFont="1" applyFill="1" applyBorder="1" applyAlignment="1">
      <alignment horizontal="center" vertical="center" wrapText="1"/>
    </xf>
    <xf numFmtId="178" fontId="21" fillId="3" borderId="32" xfId="0" applyNumberFormat="1" applyFont="1" applyFill="1" applyBorder="1" applyAlignment="1">
      <alignment horizontal="center" vertical="center"/>
    </xf>
    <xf numFmtId="178" fontId="7" fillId="4" borderId="11" xfId="0" applyNumberFormat="1" applyFont="1" applyFill="1" applyBorder="1" applyAlignment="1">
      <alignment horizontal="center" vertical="center" wrapText="1"/>
    </xf>
    <xf numFmtId="0" fontId="25" fillId="3" borderId="3" xfId="0" applyFont="1" applyFill="1" applyBorder="1" applyAlignment="1">
      <alignment horizontal="left" vertical="center" wrapText="1" shrinkToFit="1"/>
    </xf>
    <xf numFmtId="178" fontId="7" fillId="4" borderId="3" xfId="0" applyNumberFormat="1" applyFont="1" applyFill="1" applyBorder="1" applyAlignment="1">
      <alignment horizontal="center" vertical="center" wrapText="1"/>
    </xf>
    <xf numFmtId="178" fontId="7" fillId="4" borderId="57" xfId="0" applyNumberFormat="1" applyFont="1" applyFill="1" applyBorder="1" applyAlignment="1">
      <alignment horizontal="center" vertical="center" wrapText="1"/>
    </xf>
    <xf numFmtId="178" fontId="7" fillId="4" borderId="53" xfId="0" applyNumberFormat="1" applyFont="1" applyFill="1" applyBorder="1" applyAlignment="1">
      <alignment horizontal="center" vertical="center" wrapText="1"/>
    </xf>
    <xf numFmtId="0" fontId="6" fillId="0" borderId="38" xfId="0" applyFont="1" applyBorder="1"/>
    <xf numFmtId="0" fontId="6" fillId="3" borderId="38" xfId="0" applyFont="1" applyFill="1" applyBorder="1" applyAlignment="1" applyProtection="1">
      <alignment shrinkToFit="1"/>
      <protection locked="0"/>
    </xf>
    <xf numFmtId="0" fontId="6" fillId="0" borderId="38" xfId="0" applyFont="1" applyBorder="1" applyAlignment="1">
      <alignment horizontal="center" vertical="center"/>
    </xf>
    <xf numFmtId="0" fontId="6" fillId="0" borderId="30" xfId="0" applyFont="1" applyBorder="1"/>
    <xf numFmtId="0" fontId="6" fillId="0" borderId="47" xfId="0" applyFont="1" applyBorder="1"/>
    <xf numFmtId="0" fontId="6" fillId="3" borderId="30" xfId="0" applyFont="1" applyFill="1" applyBorder="1" applyAlignment="1" applyProtection="1">
      <alignment shrinkToFit="1"/>
      <protection locked="0"/>
    </xf>
    <xf numFmtId="0" fontId="6" fillId="0" borderId="30" xfId="0" applyFont="1" applyBorder="1" applyAlignment="1">
      <alignment horizontal="center" vertical="center"/>
    </xf>
    <xf numFmtId="0" fontId="6" fillId="0" borderId="56" xfId="0" applyFont="1" applyBorder="1" applyAlignment="1">
      <alignment shrinkToFit="1"/>
    </xf>
    <xf numFmtId="0" fontId="6" fillId="0" borderId="38" xfId="0" applyFont="1" applyBorder="1" applyAlignment="1">
      <alignment horizontal="center"/>
    </xf>
    <xf numFmtId="0" fontId="6" fillId="3" borderId="38" xfId="0" applyFont="1" applyFill="1" applyBorder="1" applyProtection="1">
      <protection locked="0"/>
    </xf>
    <xf numFmtId="0" fontId="16" fillId="0" borderId="65" xfId="0" applyFont="1" applyBorder="1" applyAlignment="1">
      <alignment vertical="center"/>
    </xf>
    <xf numFmtId="0" fontId="0" fillId="0" borderId="65" xfId="0" applyBorder="1"/>
    <xf numFmtId="0" fontId="6" fillId="0" borderId="12" xfId="0" applyFont="1" applyBorder="1" applyAlignment="1">
      <alignment shrinkToFit="1"/>
    </xf>
    <xf numFmtId="0" fontId="6" fillId="3" borderId="25" xfId="0" applyFont="1" applyFill="1" applyBorder="1" applyAlignment="1">
      <alignment shrinkToFit="1"/>
    </xf>
    <xf numFmtId="0" fontId="6" fillId="0" borderId="25" xfId="0" applyFont="1" applyBorder="1" applyAlignment="1">
      <alignment horizontal="center"/>
    </xf>
    <xf numFmtId="0" fontId="6" fillId="0" borderId="25" xfId="0" applyFont="1" applyBorder="1"/>
    <xf numFmtId="0" fontId="6" fillId="3" borderId="25" xfId="0" applyFont="1" applyFill="1" applyBorder="1"/>
    <xf numFmtId="0" fontId="16" fillId="0" borderId="1" xfId="0" applyFont="1" applyBorder="1" applyAlignment="1">
      <alignment vertical="center"/>
    </xf>
    <xf numFmtId="0" fontId="6" fillId="0" borderId="25" xfId="0" applyFont="1" applyBorder="1" applyAlignment="1">
      <alignment horizontal="center" vertical="center"/>
    </xf>
    <xf numFmtId="0" fontId="6" fillId="0" borderId="67" xfId="0" applyFont="1" applyBorder="1" applyAlignment="1">
      <alignment horizontal="center"/>
    </xf>
    <xf numFmtId="0" fontId="34" fillId="0" borderId="24" xfId="0" applyFont="1" applyBorder="1" applyAlignment="1">
      <alignment horizontal="center" vertical="center" wrapText="1"/>
    </xf>
    <xf numFmtId="0" fontId="34" fillId="0" borderId="115" xfId="0" applyFont="1" applyBorder="1" applyAlignment="1">
      <alignment horizontal="center" vertical="center" wrapText="1"/>
    </xf>
    <xf numFmtId="0" fontId="34" fillId="0" borderId="116" xfId="0" applyFont="1" applyBorder="1" applyAlignment="1">
      <alignment horizontal="center" vertical="center" wrapText="1"/>
    </xf>
    <xf numFmtId="0" fontId="23" fillId="0" borderId="35" xfId="0" applyFont="1" applyBorder="1" applyAlignment="1">
      <alignment horizontal="center" wrapText="1"/>
    </xf>
    <xf numFmtId="0" fontId="23" fillId="0" borderId="36" xfId="0" applyFont="1" applyBorder="1" applyAlignment="1">
      <alignment horizontal="center" wrapText="1"/>
    </xf>
    <xf numFmtId="0" fontId="16" fillId="0" borderId="24" xfId="0" applyFont="1" applyBorder="1" applyAlignment="1">
      <alignment horizontal="center" vertical="center" wrapText="1"/>
    </xf>
    <xf numFmtId="0" fontId="16" fillId="0" borderId="115" xfId="0" applyFont="1" applyBorder="1" applyAlignment="1">
      <alignment horizontal="center" vertical="center" wrapText="1"/>
    </xf>
    <xf numFmtId="0" fontId="16" fillId="0" borderId="116" xfId="0" applyFont="1" applyBorder="1" applyAlignment="1">
      <alignment horizontal="center" vertical="center" wrapText="1"/>
    </xf>
    <xf numFmtId="0" fontId="16" fillId="3" borderId="19" xfId="0" applyFont="1" applyFill="1" applyBorder="1" applyAlignment="1">
      <alignment horizontal="left" vertical="center" wrapText="1"/>
    </xf>
    <xf numFmtId="0" fontId="16" fillId="3" borderId="62" xfId="0" applyFont="1" applyFill="1" applyBorder="1" applyAlignment="1">
      <alignment horizontal="left" vertical="center" wrapText="1"/>
    </xf>
    <xf numFmtId="0" fontId="16" fillId="3" borderId="45" xfId="0" applyFont="1" applyFill="1" applyBorder="1" applyAlignment="1">
      <alignment horizontal="left" vertical="center" wrapText="1"/>
    </xf>
    <xf numFmtId="0" fontId="16" fillId="3" borderId="60" xfId="0" applyFont="1" applyFill="1" applyBorder="1" applyAlignment="1">
      <alignment horizontal="left" vertical="center" wrapText="1"/>
    </xf>
    <xf numFmtId="178" fontId="7" fillId="4" borderId="45" xfId="0" applyNumberFormat="1" applyFont="1" applyFill="1" applyBorder="1" applyAlignment="1">
      <alignment horizontal="center" vertical="center" wrapText="1"/>
    </xf>
    <xf numFmtId="178" fontId="7" fillId="4" borderId="62" xfId="0" applyNumberFormat="1" applyFont="1" applyFill="1" applyBorder="1" applyAlignment="1">
      <alignment horizontal="center" vertical="center" wrapText="1"/>
    </xf>
    <xf numFmtId="178" fontId="7" fillId="4" borderId="60" xfId="0" applyNumberFormat="1" applyFont="1" applyFill="1" applyBorder="1" applyAlignment="1">
      <alignment horizontal="center" vertical="center" wrapText="1"/>
    </xf>
    <xf numFmtId="0" fontId="16" fillId="0" borderId="22" xfId="0" applyFont="1" applyBorder="1" applyAlignment="1">
      <alignment horizontal="left" vertical="center" wrapText="1"/>
    </xf>
    <xf numFmtId="0" fontId="16" fillId="0" borderId="39" xfId="0" applyFont="1" applyBorder="1" applyAlignment="1">
      <alignment horizontal="left" vertical="center" wrapText="1"/>
    </xf>
    <xf numFmtId="0" fontId="16" fillId="0" borderId="58" xfId="0" applyFont="1" applyBorder="1" applyAlignment="1">
      <alignment horizontal="left" vertical="center" wrapText="1"/>
    </xf>
    <xf numFmtId="0" fontId="21" fillId="3" borderId="45" xfId="0" applyFont="1" applyFill="1" applyBorder="1" applyAlignment="1">
      <alignment horizontal="left" vertical="center" wrapText="1"/>
    </xf>
    <xf numFmtId="0" fontId="21" fillId="3" borderId="60" xfId="0" applyFont="1" applyFill="1" applyBorder="1" applyAlignment="1">
      <alignment horizontal="left" vertical="center" wrapText="1"/>
    </xf>
    <xf numFmtId="0" fontId="16" fillId="3" borderId="20" xfId="0" applyFont="1" applyFill="1" applyBorder="1" applyAlignment="1">
      <alignment horizontal="left" vertical="center" wrapText="1"/>
    </xf>
    <xf numFmtId="0" fontId="16" fillId="3" borderId="13" xfId="0" applyFont="1" applyFill="1" applyBorder="1" applyAlignment="1">
      <alignment horizontal="left" vertical="center" wrapText="1"/>
    </xf>
    <xf numFmtId="0" fontId="16" fillId="3" borderId="12" xfId="0" applyFont="1" applyFill="1" applyBorder="1" applyAlignment="1">
      <alignment horizontal="left" vertical="center" wrapText="1"/>
    </xf>
    <xf numFmtId="0" fontId="16" fillId="3" borderId="33" xfId="0" applyFont="1" applyFill="1" applyBorder="1" applyAlignment="1">
      <alignment horizontal="left" vertical="center" wrapText="1"/>
    </xf>
    <xf numFmtId="0" fontId="7" fillId="4" borderId="12" xfId="0" applyFont="1" applyFill="1" applyBorder="1" applyAlignment="1">
      <alignment horizontal="center" vertical="top" wrapText="1"/>
    </xf>
    <xf numFmtId="0" fontId="7" fillId="4" borderId="33" xfId="0" applyFont="1" applyFill="1" applyBorder="1" applyAlignment="1">
      <alignment horizontal="center" vertical="top" wrapText="1"/>
    </xf>
    <xf numFmtId="0" fontId="16" fillId="3" borderId="12" xfId="0" applyFont="1" applyFill="1" applyBorder="1" applyAlignment="1">
      <alignment horizontal="left" vertical="center"/>
    </xf>
    <xf numFmtId="0" fontId="16" fillId="3" borderId="25" xfId="0" applyFont="1" applyFill="1" applyBorder="1" applyAlignment="1">
      <alignment horizontal="left" vertical="center"/>
    </xf>
    <xf numFmtId="0" fontId="16" fillId="3" borderId="33" xfId="0" applyFont="1" applyFill="1" applyBorder="1" applyAlignment="1">
      <alignment horizontal="left" vertical="center"/>
    </xf>
    <xf numFmtId="178" fontId="21" fillId="4" borderId="20" xfId="0" applyNumberFormat="1" applyFont="1" applyFill="1" applyBorder="1" applyAlignment="1">
      <alignment horizontal="center" vertical="center"/>
    </xf>
    <xf numFmtId="178" fontId="21" fillId="4" borderId="13" xfId="0" applyNumberFormat="1" applyFont="1" applyFill="1" applyBorder="1" applyAlignment="1">
      <alignment horizontal="center" vertical="center"/>
    </xf>
    <xf numFmtId="0" fontId="10" fillId="2" borderId="43"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109" xfId="0" applyFont="1" applyFill="1" applyBorder="1" applyAlignment="1">
      <alignment horizontal="center" vertical="center"/>
    </xf>
    <xf numFmtId="178" fontId="21" fillId="3" borderId="22" xfId="0" applyNumberFormat="1" applyFont="1" applyFill="1" applyBorder="1" applyAlignment="1">
      <alignment horizontal="center" vertical="center"/>
    </xf>
    <xf numFmtId="178" fontId="21" fillId="3" borderId="58" xfId="0" applyNumberFormat="1" applyFont="1" applyFill="1" applyBorder="1" applyAlignment="1">
      <alignment horizontal="center" vertical="center"/>
    </xf>
    <xf numFmtId="0" fontId="7" fillId="4" borderId="43" xfId="0" applyFont="1" applyFill="1" applyBorder="1" applyAlignment="1">
      <alignment horizontal="center" vertical="top" wrapText="1"/>
    </xf>
    <xf numFmtId="0" fontId="7" fillId="4" borderId="109" xfId="0" applyFont="1" applyFill="1" applyBorder="1" applyAlignment="1">
      <alignment horizontal="center" vertical="top" wrapText="1"/>
    </xf>
    <xf numFmtId="0" fontId="24" fillId="0" borderId="40" xfId="0" applyFont="1" applyBorder="1" applyAlignment="1">
      <alignment horizontal="center" vertical="center" wrapText="1"/>
    </xf>
    <xf numFmtId="0" fontId="24" fillId="0" borderId="42" xfId="0" applyFont="1" applyBorder="1" applyAlignment="1">
      <alignment horizontal="center" vertical="center" wrapText="1"/>
    </xf>
    <xf numFmtId="178" fontId="7" fillId="4" borderId="43" xfId="0" applyNumberFormat="1" applyFont="1" applyFill="1" applyBorder="1" applyAlignment="1">
      <alignment horizontal="center" vertical="center" wrapText="1"/>
    </xf>
    <xf numFmtId="178" fontId="7" fillId="4" borderId="58" xfId="0" applyNumberFormat="1" applyFont="1" applyFill="1" applyBorder="1" applyAlignment="1">
      <alignment horizontal="center" vertical="center" wrapText="1"/>
    </xf>
    <xf numFmtId="178" fontId="7" fillId="4" borderId="109" xfId="0" applyNumberFormat="1"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109" xfId="0" applyFont="1" applyFill="1" applyBorder="1" applyAlignment="1">
      <alignment horizontal="center" vertical="center" wrapText="1"/>
    </xf>
    <xf numFmtId="0" fontId="16" fillId="3" borderId="19" xfId="0" applyFont="1" applyFill="1" applyBorder="1" applyAlignment="1">
      <alignment horizontal="left" vertical="center"/>
    </xf>
    <xf numFmtId="0" fontId="16" fillId="3" borderId="73" xfId="0" applyFont="1" applyFill="1" applyBorder="1" applyAlignment="1">
      <alignment horizontal="left" vertical="center"/>
    </xf>
    <xf numFmtId="0" fontId="16" fillId="3" borderId="62" xfId="0" applyFont="1" applyFill="1" applyBorder="1" applyAlignment="1">
      <alignment horizontal="left" vertical="center"/>
    </xf>
    <xf numFmtId="0" fontId="16" fillId="3" borderId="45" xfId="0" applyFont="1" applyFill="1" applyBorder="1" applyAlignment="1">
      <alignment horizontal="left" vertical="center" shrinkToFit="1"/>
    </xf>
    <xf numFmtId="0" fontId="16" fillId="3" borderId="62" xfId="0" applyFont="1" applyFill="1" applyBorder="1" applyAlignment="1">
      <alignment horizontal="left" vertical="center" shrinkToFit="1"/>
    </xf>
    <xf numFmtId="0" fontId="16" fillId="3" borderId="45" xfId="0" applyFont="1" applyFill="1" applyBorder="1" applyAlignment="1">
      <alignment horizontal="left" vertical="center"/>
    </xf>
    <xf numFmtId="0" fontId="16" fillId="3" borderId="60" xfId="0" applyFont="1" applyFill="1" applyBorder="1" applyAlignment="1">
      <alignment horizontal="left" vertical="center"/>
    </xf>
    <xf numFmtId="0" fontId="52" fillId="0" borderId="34" xfId="0" applyFont="1" applyBorder="1" applyAlignment="1">
      <alignment horizontal="center" shrinkToFit="1"/>
    </xf>
    <xf numFmtId="0" fontId="52" fillId="0" borderId="70" xfId="0" applyFont="1" applyBorder="1" applyAlignment="1">
      <alignment horizontal="center" shrinkToFit="1"/>
    </xf>
    <xf numFmtId="178" fontId="7" fillId="4" borderId="12" xfId="0" applyNumberFormat="1" applyFont="1" applyFill="1" applyBorder="1" applyAlignment="1">
      <alignment horizontal="center" vertical="center" wrapText="1"/>
    </xf>
    <xf numFmtId="178" fontId="7" fillId="4" borderId="13" xfId="0" applyNumberFormat="1" applyFont="1" applyFill="1" applyBorder="1" applyAlignment="1">
      <alignment horizontal="center" vertical="center" wrapText="1"/>
    </xf>
    <xf numFmtId="178" fontId="7" fillId="4" borderId="33" xfId="0" applyNumberFormat="1" applyFont="1" applyFill="1" applyBorder="1" applyAlignment="1">
      <alignment horizontal="center" vertical="center" wrapText="1"/>
    </xf>
    <xf numFmtId="0" fontId="15" fillId="0" borderId="0" xfId="0" applyFont="1" applyAlignment="1">
      <alignment horizontal="left" vertical="center" wrapText="1"/>
    </xf>
    <xf numFmtId="0" fontId="0" fillId="0" borderId="14" xfId="0" applyBorder="1" applyAlignment="1">
      <alignment horizontal="center" vertical="center" wrapText="1"/>
    </xf>
    <xf numFmtId="0" fontId="0" fillId="0" borderId="35" xfId="0" applyBorder="1" applyAlignment="1">
      <alignment horizontal="center" vertical="center" wrapText="1"/>
    </xf>
    <xf numFmtId="0" fontId="0" fillId="0" borderId="29" xfId="0" applyBorder="1" applyAlignment="1">
      <alignment horizontal="center" vertical="center" wrapText="1"/>
    </xf>
    <xf numFmtId="0" fontId="0" fillId="0" borderId="36" xfId="0" applyBorder="1" applyAlignment="1">
      <alignment horizontal="center" vertical="center" wrapText="1"/>
    </xf>
    <xf numFmtId="0" fontId="0" fillId="0" borderId="32" xfId="0" applyBorder="1" applyAlignment="1">
      <alignment horizontal="center" vertical="center" wrapText="1"/>
    </xf>
    <xf numFmtId="0" fontId="0" fillId="0" borderId="37" xfId="0" applyBorder="1" applyAlignment="1">
      <alignment horizontal="center" vertical="center" wrapText="1"/>
    </xf>
    <xf numFmtId="0" fontId="0" fillId="0" borderId="19" xfId="0" applyBorder="1" applyAlignment="1">
      <alignment horizontal="center"/>
    </xf>
    <xf numFmtId="0" fontId="0" fillId="0" borderId="73" xfId="0" applyBorder="1" applyAlignment="1">
      <alignment horizontal="center"/>
    </xf>
    <xf numFmtId="0" fontId="0" fillId="0" borderId="60" xfId="0" applyBorder="1" applyAlignment="1">
      <alignment horizontal="center"/>
    </xf>
    <xf numFmtId="0" fontId="0" fillId="0" borderId="21" xfId="0" applyBorder="1" applyAlignment="1">
      <alignment horizontal="center" vertical="center"/>
    </xf>
    <xf numFmtId="0" fontId="0" fillId="0" borderId="124" xfId="0" applyBorder="1" applyAlignment="1">
      <alignment horizontal="center" vertical="center"/>
    </xf>
    <xf numFmtId="0" fontId="0" fillId="0" borderId="29" xfId="0" applyBorder="1" applyAlignment="1">
      <alignment horizontal="center" vertical="center"/>
    </xf>
    <xf numFmtId="0" fontId="0" fillId="0" borderId="143" xfId="0" applyBorder="1" applyAlignment="1">
      <alignment horizontal="center" vertical="center"/>
    </xf>
    <xf numFmtId="0" fontId="0" fillId="0" borderId="32" xfId="0" applyBorder="1" applyAlignment="1">
      <alignment horizontal="center" vertical="center"/>
    </xf>
    <xf numFmtId="0" fontId="0" fillId="0" borderId="59" xfId="0" applyBorder="1" applyAlignment="1">
      <alignment horizontal="center" vertical="center"/>
    </xf>
    <xf numFmtId="0" fontId="21" fillId="0" borderId="2" xfId="0" applyFont="1" applyBorder="1" applyAlignment="1">
      <alignment horizontal="center" vertical="center" shrinkToFit="1"/>
    </xf>
    <xf numFmtId="0" fontId="21" fillId="0" borderId="57" xfId="0" applyFont="1" applyBorder="1" applyAlignment="1">
      <alignment horizontal="center" vertical="center" shrinkToFit="1"/>
    </xf>
    <xf numFmtId="0" fontId="21" fillId="0" borderId="53" xfId="0" applyFont="1" applyBorder="1" applyAlignment="1">
      <alignment horizontal="center" vertical="center" shrinkToFit="1"/>
    </xf>
    <xf numFmtId="0" fontId="0" fillId="0" borderId="44" xfId="0" applyBorder="1" applyAlignment="1">
      <alignment horizontal="center" vertical="center"/>
    </xf>
    <xf numFmtId="0" fontId="0" fillId="0" borderId="69" xfId="0" applyBorder="1" applyAlignment="1">
      <alignment horizontal="center" vertical="center"/>
    </xf>
    <xf numFmtId="0" fontId="0" fillId="0" borderId="142" xfId="0" applyBorder="1" applyAlignment="1">
      <alignment horizontal="center" vertical="center"/>
    </xf>
    <xf numFmtId="0" fontId="0" fillId="0" borderId="36" xfId="0" applyBorder="1" applyAlignment="1">
      <alignment horizontal="center" vertical="center"/>
    </xf>
    <xf numFmtId="0" fontId="0" fillId="0" borderId="47" xfId="0" applyBorder="1" applyAlignment="1">
      <alignment horizontal="center" vertical="center"/>
    </xf>
    <xf numFmtId="0" fontId="0" fillId="0" borderId="37" xfId="0" applyBorder="1" applyAlignment="1">
      <alignment horizontal="center" vertical="center"/>
    </xf>
    <xf numFmtId="0" fontId="6" fillId="0" borderId="17" xfId="0" applyFont="1" applyBorder="1" applyAlignment="1">
      <alignment horizontal="center" vertical="center" wrapText="1"/>
    </xf>
    <xf numFmtId="0" fontId="6" fillId="0" borderId="115" xfId="0" applyFont="1" applyBorder="1" applyAlignment="1">
      <alignment horizontal="center" vertical="center" wrapText="1"/>
    </xf>
    <xf numFmtId="0" fontId="6" fillId="0" borderId="116"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3" xfId="0" applyFont="1" applyBorder="1" applyAlignment="1">
      <alignment horizontal="center" vertical="center" wrapText="1"/>
    </xf>
    <xf numFmtId="0" fontId="0" fillId="0" borderId="22" xfId="0" applyBorder="1" applyAlignment="1">
      <alignment horizontal="center" vertical="center"/>
    </xf>
    <xf numFmtId="0" fontId="0" fillId="0" borderId="109" xfId="0" applyBorder="1" applyAlignment="1">
      <alignment horizontal="center" vertical="center"/>
    </xf>
    <xf numFmtId="181" fontId="7" fillId="4" borderId="43" xfId="0" applyNumberFormat="1" applyFont="1" applyFill="1" applyBorder="1" applyAlignment="1">
      <alignment horizontal="center" vertical="top" wrapText="1"/>
    </xf>
    <xf numFmtId="181" fontId="7" fillId="4" borderId="109" xfId="0" applyNumberFormat="1" applyFont="1" applyFill="1" applyBorder="1" applyAlignment="1">
      <alignment horizontal="center" vertical="top" wrapText="1"/>
    </xf>
    <xf numFmtId="0" fontId="0" fillId="0" borderId="30" xfId="0" applyBorder="1" applyAlignment="1">
      <alignment horizontal="left" vertical="top" wrapText="1"/>
    </xf>
    <xf numFmtId="0" fontId="7" fillId="4" borderId="45" xfId="0" applyFont="1" applyFill="1" applyBorder="1" applyAlignment="1">
      <alignment horizontal="center" vertical="top" wrapText="1"/>
    </xf>
    <xf numFmtId="0" fontId="7" fillId="4" borderId="60" xfId="0" applyFont="1" applyFill="1" applyBorder="1" applyAlignment="1">
      <alignment horizontal="center" vertical="top" wrapText="1"/>
    </xf>
    <xf numFmtId="0" fontId="16" fillId="3" borderId="20" xfId="0" applyFont="1" applyFill="1" applyBorder="1" applyAlignment="1">
      <alignment horizontal="left" vertical="center"/>
    </xf>
    <xf numFmtId="0" fontId="16" fillId="3" borderId="13" xfId="0" applyFont="1" applyFill="1" applyBorder="1" applyAlignment="1">
      <alignment horizontal="left" vertical="center"/>
    </xf>
    <xf numFmtId="0" fontId="16" fillId="3" borderId="12" xfId="0" applyFont="1" applyFill="1" applyBorder="1" applyAlignment="1">
      <alignment horizontal="left" vertical="center" shrinkToFit="1"/>
    </xf>
    <xf numFmtId="0" fontId="16" fillId="3" borderId="13" xfId="0" applyFont="1" applyFill="1" applyBorder="1" applyAlignment="1">
      <alignment horizontal="left" vertical="center" shrinkToFit="1"/>
    </xf>
    <xf numFmtId="0" fontId="0" fillId="0" borderId="127" xfId="0" applyBorder="1" applyAlignment="1">
      <alignment horizontal="center"/>
    </xf>
    <xf numFmtId="0" fontId="0" fillId="0" borderId="128" xfId="0" applyBorder="1" applyAlignment="1">
      <alignment horizontal="center"/>
    </xf>
    <xf numFmtId="0" fontId="10" fillId="0" borderId="30" xfId="0" applyFont="1" applyBorder="1" applyAlignment="1">
      <alignment horizontal="center"/>
    </xf>
    <xf numFmtId="0" fontId="25" fillId="0" borderId="25" xfId="0" applyFont="1" applyBorder="1" applyAlignment="1">
      <alignment horizontal="center" wrapText="1"/>
    </xf>
    <xf numFmtId="0" fontId="25" fillId="0" borderId="33" xfId="0" applyFont="1" applyBorder="1" applyAlignment="1">
      <alignment horizontal="center" wrapText="1"/>
    </xf>
    <xf numFmtId="0" fontId="6" fillId="0" borderId="137" xfId="0" applyFont="1" applyBorder="1" applyAlignment="1">
      <alignment horizontal="center"/>
    </xf>
    <xf numFmtId="0" fontId="6" fillId="0" borderId="119" xfId="0" applyFont="1" applyBorder="1" applyAlignment="1">
      <alignment horizontal="center"/>
    </xf>
    <xf numFmtId="0" fontId="6" fillId="0" borderId="100" xfId="0" applyFont="1" applyBorder="1" applyAlignment="1">
      <alignment horizontal="center" vertical="top" wrapText="1"/>
    </xf>
    <xf numFmtId="0" fontId="6" fillId="0" borderId="101" xfId="0" applyFont="1" applyBorder="1" applyAlignment="1">
      <alignment horizontal="center" vertical="top" wrapText="1"/>
    </xf>
    <xf numFmtId="0" fontId="6" fillId="0" borderId="118" xfId="0" applyFont="1" applyBorder="1" applyAlignment="1">
      <alignment horizontal="center" vertical="top" wrapText="1"/>
    </xf>
    <xf numFmtId="0" fontId="6" fillId="0" borderId="135" xfId="0" applyFont="1" applyBorder="1" applyAlignment="1">
      <alignment horizontal="center"/>
    </xf>
    <xf numFmtId="0" fontId="6" fillId="0" borderId="118" xfId="0" applyFont="1" applyBorder="1" applyAlignment="1">
      <alignment horizontal="center"/>
    </xf>
    <xf numFmtId="0" fontId="6" fillId="3" borderId="99" xfId="0" applyFont="1" applyFill="1" applyBorder="1" applyAlignment="1">
      <alignment horizontal="center" vertical="center" wrapText="1"/>
    </xf>
    <xf numFmtId="0" fontId="6" fillId="3" borderId="102" xfId="0" applyFont="1" applyFill="1" applyBorder="1" applyAlignment="1">
      <alignment horizontal="center" vertical="center" wrapText="1"/>
    </xf>
    <xf numFmtId="0" fontId="6" fillId="3" borderId="119" xfId="0" applyFont="1" applyFill="1" applyBorder="1" applyAlignment="1">
      <alignment horizontal="center" vertical="center" wrapText="1"/>
    </xf>
    <xf numFmtId="0" fontId="3" fillId="0" borderId="137" xfId="0" applyFont="1" applyBorder="1" applyAlignment="1">
      <alignment horizontal="center"/>
    </xf>
    <xf numFmtId="0" fontId="3" fillId="0" borderId="119" xfId="0" applyFont="1" applyBorder="1" applyAlignment="1">
      <alignment horizontal="center"/>
    </xf>
    <xf numFmtId="0" fontId="0" fillId="0" borderId="95" xfId="0" applyBorder="1" applyAlignment="1">
      <alignment horizontal="center" vertical="center"/>
    </xf>
    <xf numFmtId="0" fontId="0" fillId="0" borderId="71" xfId="0" applyBorder="1" applyAlignment="1">
      <alignment horizontal="center" vertical="center"/>
    </xf>
    <xf numFmtId="0" fontId="6" fillId="0" borderId="127" xfId="0" applyFont="1" applyBorder="1" applyAlignment="1">
      <alignment horizontal="center"/>
    </xf>
    <xf numFmtId="0" fontId="6" fillId="0" borderId="128" xfId="0" applyFont="1" applyBorder="1" applyAlignment="1">
      <alignment horizontal="center"/>
    </xf>
    <xf numFmtId="0" fontId="6" fillId="0" borderId="125" xfId="0" applyFont="1" applyBorder="1" applyAlignment="1">
      <alignment horizontal="center"/>
    </xf>
    <xf numFmtId="0" fontId="6" fillId="0" borderId="126" xfId="0" applyFont="1" applyBorder="1" applyAlignment="1">
      <alignment horizontal="center"/>
    </xf>
    <xf numFmtId="0" fontId="10" fillId="0" borderId="34" xfId="0" applyFont="1" applyBorder="1" applyAlignment="1">
      <alignment horizontal="center"/>
    </xf>
    <xf numFmtId="0" fontId="10" fillId="0" borderId="70" xfId="0" applyFont="1" applyBorder="1" applyAlignment="1">
      <alignment horizontal="center"/>
    </xf>
    <xf numFmtId="0" fontId="10" fillId="0" borderId="25" xfId="0" applyFont="1" applyBorder="1" applyAlignment="1">
      <alignment horizontal="center" vertical="top" wrapText="1"/>
    </xf>
    <xf numFmtId="0" fontId="10" fillId="0" borderId="33" xfId="0" applyFont="1" applyBorder="1" applyAlignment="1">
      <alignment horizontal="center" vertical="top" wrapText="1"/>
    </xf>
    <xf numFmtId="0" fontId="0" fillId="0" borderId="141" xfId="0" applyBorder="1" applyAlignment="1">
      <alignment horizontal="center"/>
    </xf>
    <xf numFmtId="0" fontId="0" fillId="0" borderId="109" xfId="0" applyBorder="1" applyAlignment="1">
      <alignment horizontal="center"/>
    </xf>
    <xf numFmtId="0" fontId="29" fillId="0" borderId="100" xfId="0" applyFont="1" applyBorder="1" applyAlignment="1">
      <alignment horizontal="center" vertical="center"/>
    </xf>
    <xf numFmtId="0" fontId="29" fillId="0" borderId="136" xfId="0" applyFont="1" applyBorder="1" applyAlignment="1">
      <alignment horizontal="center" vertical="center"/>
    </xf>
    <xf numFmtId="0" fontId="29" fillId="0" borderId="135" xfId="0" applyFont="1" applyBorder="1" applyAlignment="1">
      <alignment horizontal="center" vertical="center"/>
    </xf>
    <xf numFmtId="0" fontId="29" fillId="0" borderId="118" xfId="0" applyFont="1" applyBorder="1" applyAlignment="1">
      <alignment horizontal="center" vertical="center"/>
    </xf>
    <xf numFmtId="0" fontId="0" fillId="0" borderId="107" xfId="0" applyBorder="1" applyAlignment="1">
      <alignment horizontal="center" wrapText="1"/>
    </xf>
    <xf numFmtId="0" fontId="0" fillId="0" borderId="108" xfId="0" applyBorder="1" applyAlignment="1">
      <alignment horizontal="center" wrapText="1"/>
    </xf>
    <xf numFmtId="0" fontId="6" fillId="3" borderId="99" xfId="0" applyFont="1" applyFill="1" applyBorder="1" applyAlignment="1">
      <alignment horizontal="center" vertical="top" wrapText="1"/>
    </xf>
    <xf numFmtId="0" fontId="6" fillId="3" borderId="140" xfId="0" applyFont="1" applyFill="1" applyBorder="1" applyAlignment="1">
      <alignment horizontal="center" vertical="top" wrapText="1"/>
    </xf>
    <xf numFmtId="0" fontId="6" fillId="3" borderId="137" xfId="0" applyFont="1" applyFill="1" applyBorder="1" applyAlignment="1">
      <alignment horizontal="center" shrinkToFit="1"/>
    </xf>
    <xf numFmtId="0" fontId="6" fillId="3" borderId="119" xfId="0" applyFont="1" applyFill="1" applyBorder="1" applyAlignment="1">
      <alignment horizontal="center" shrinkToFit="1"/>
    </xf>
    <xf numFmtId="0" fontId="0" fillId="0" borderId="20" xfId="0" applyBorder="1" applyAlignment="1">
      <alignment horizontal="center"/>
    </xf>
    <xf numFmtId="0" fontId="0" fillId="0" borderId="25" xfId="0" applyBorder="1" applyAlignment="1">
      <alignment horizontal="center"/>
    </xf>
    <xf numFmtId="0" fontId="0" fillId="0" borderId="33" xfId="0" applyBorder="1" applyAlignment="1">
      <alignment horizontal="center"/>
    </xf>
    <xf numFmtId="176" fontId="0" fillId="3" borderId="20" xfId="0" applyNumberFormat="1" applyFill="1" applyBorder="1" applyAlignment="1">
      <alignment horizontal="center" vertical="center"/>
    </xf>
    <xf numFmtId="176" fontId="0" fillId="3" borderId="33" xfId="0" applyNumberFormat="1" applyFill="1" applyBorder="1" applyAlignment="1">
      <alignment horizontal="center" vertical="center"/>
    </xf>
    <xf numFmtId="0" fontId="6" fillId="0" borderId="20" xfId="0" applyFont="1" applyBorder="1" applyAlignment="1">
      <alignment horizontal="left" shrinkToFit="1"/>
    </xf>
    <xf numFmtId="0" fontId="6" fillId="0" borderId="25" xfId="0" applyFont="1" applyBorder="1" applyAlignment="1">
      <alignment horizontal="left" shrinkToFit="1"/>
    </xf>
    <xf numFmtId="0" fontId="6" fillId="0" borderId="33" xfId="0" applyFont="1" applyBorder="1" applyAlignment="1">
      <alignment horizontal="left" shrinkToFit="1"/>
    </xf>
    <xf numFmtId="0" fontId="0" fillId="0" borderId="21" xfId="0" applyBorder="1" applyAlignment="1">
      <alignment horizontal="center" vertical="center" wrapText="1"/>
    </xf>
    <xf numFmtId="0" fontId="0" fillId="0" borderId="63" xfId="0" applyBorder="1" applyAlignment="1">
      <alignment horizontal="center" vertical="center" wrapText="1"/>
    </xf>
    <xf numFmtId="0" fontId="0" fillId="0" borderId="69"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3" borderId="21" xfId="0" applyFill="1" applyBorder="1" applyAlignment="1">
      <alignment horizontal="center" vertical="center"/>
    </xf>
    <xf numFmtId="0" fontId="0" fillId="3" borderId="69" xfId="0" applyFill="1" applyBorder="1" applyAlignment="1">
      <alignment horizontal="center" vertical="center"/>
    </xf>
    <xf numFmtId="0" fontId="0" fillId="3" borderId="29" xfId="0" applyFill="1" applyBorder="1" applyAlignment="1">
      <alignment horizontal="center" vertical="center"/>
    </xf>
    <xf numFmtId="0" fontId="0" fillId="3" borderId="36" xfId="0" applyFill="1" applyBorder="1" applyAlignment="1">
      <alignment horizontal="center" vertical="center"/>
    </xf>
    <xf numFmtId="0" fontId="0" fillId="3" borderId="16" xfId="0" applyFill="1" applyBorder="1" applyAlignment="1">
      <alignment horizontal="center" vertical="center"/>
    </xf>
    <xf numFmtId="0" fontId="0" fillId="3" borderId="68" xfId="0" applyFill="1" applyBorder="1" applyAlignment="1">
      <alignment horizontal="center" vertical="center"/>
    </xf>
    <xf numFmtId="0" fontId="0" fillId="0" borderId="96" xfId="0" applyBorder="1" applyAlignment="1">
      <alignment horizontal="center" vertical="center"/>
    </xf>
    <xf numFmtId="0" fontId="0" fillId="3" borderId="20" xfId="0" applyFill="1" applyBorder="1" applyAlignment="1">
      <alignment horizontal="center" shrinkToFit="1"/>
    </xf>
    <xf numFmtId="0" fontId="0" fillId="3" borderId="33" xfId="0" applyFill="1" applyBorder="1" applyAlignment="1">
      <alignment horizontal="center" shrinkToFit="1"/>
    </xf>
    <xf numFmtId="0" fontId="0" fillId="3" borderId="20" xfId="0" applyFill="1" applyBorder="1" applyAlignment="1">
      <alignment horizontal="center" vertical="center" shrinkToFit="1"/>
    </xf>
    <xf numFmtId="0" fontId="0" fillId="3" borderId="33" xfId="0" applyFill="1" applyBorder="1" applyAlignment="1">
      <alignment horizontal="center" vertical="center" shrinkToFit="1"/>
    </xf>
    <xf numFmtId="177" fontId="0" fillId="3" borderId="19" xfId="0" applyNumberFormat="1" applyFill="1" applyBorder="1" applyAlignment="1">
      <alignment horizontal="center" vertical="center"/>
    </xf>
    <xf numFmtId="177" fontId="0" fillId="3" borderId="60" xfId="0" applyNumberFormat="1" applyFill="1" applyBorder="1" applyAlignment="1">
      <alignment horizontal="center" vertical="center"/>
    </xf>
    <xf numFmtId="0" fontId="6" fillId="0" borderId="19" xfId="0" applyFont="1" applyBorder="1" applyAlignment="1">
      <alignment horizontal="left"/>
    </xf>
    <xf numFmtId="0" fontId="6" fillId="0" borderId="73" xfId="0" applyFont="1" applyBorder="1" applyAlignment="1">
      <alignment horizontal="left"/>
    </xf>
    <xf numFmtId="0" fontId="6" fillId="0" borderId="60" xfId="0" applyFont="1" applyBorder="1" applyAlignment="1">
      <alignment horizontal="left"/>
    </xf>
    <xf numFmtId="0" fontId="46" fillId="0" borderId="0" xfId="0" applyFont="1" applyAlignment="1">
      <alignment horizontal="center" vertical="center" shrinkToFit="1"/>
    </xf>
    <xf numFmtId="0" fontId="0" fillId="0" borderId="138" xfId="0" applyBorder="1" applyAlignment="1">
      <alignment horizontal="center" wrapText="1"/>
    </xf>
    <xf numFmtId="0" fontId="0" fillId="0" borderId="60" xfId="0" applyBorder="1" applyAlignment="1">
      <alignment horizontal="center" wrapText="1"/>
    </xf>
    <xf numFmtId="0" fontId="0" fillId="0" borderId="135" xfId="0" applyBorder="1" applyAlignment="1">
      <alignment horizontal="center"/>
    </xf>
    <xf numFmtId="0" fontId="0" fillId="0" borderId="118" xfId="0" applyBorder="1" applyAlignment="1">
      <alignment horizont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67" xfId="0" applyBorder="1" applyAlignment="1">
      <alignment horizontal="right"/>
    </xf>
    <xf numFmtId="0" fontId="6" fillId="0" borderId="12" xfId="0" applyFont="1" applyBorder="1" applyAlignment="1">
      <alignment horizontal="center"/>
    </xf>
    <xf numFmtId="0" fontId="6" fillId="0" borderId="13" xfId="0" applyFont="1" applyBorder="1" applyAlignment="1">
      <alignment horizontal="center"/>
    </xf>
    <xf numFmtId="0" fontId="0" fillId="0" borderId="12" xfId="0" applyBorder="1" applyAlignment="1">
      <alignment horizontal="center"/>
    </xf>
    <xf numFmtId="179" fontId="0" fillId="3" borderId="12" xfId="0" applyNumberFormat="1" applyFill="1" applyBorder="1" applyAlignment="1">
      <alignment horizontal="center"/>
    </xf>
    <xf numFmtId="179" fontId="0" fillId="3" borderId="25" xfId="0" applyNumberFormat="1" applyFill="1" applyBorder="1" applyAlignment="1">
      <alignment horizontal="center"/>
    </xf>
    <xf numFmtId="179" fontId="0" fillId="3" borderId="13" xfId="0" applyNumberFormat="1" applyFill="1" applyBorder="1" applyAlignment="1">
      <alignment horizontal="center"/>
    </xf>
    <xf numFmtId="0" fontId="0" fillId="3" borderId="1" xfId="0" applyFill="1" applyBorder="1" applyAlignment="1">
      <alignment horizontal="center" shrinkToFit="1"/>
    </xf>
    <xf numFmtId="0" fontId="6" fillId="0" borderId="1" xfId="0" applyFont="1" applyBorder="1" applyAlignment="1">
      <alignment horizontal="center" shrinkToFit="1"/>
    </xf>
    <xf numFmtId="0" fontId="6" fillId="3" borderId="12" xfId="0" applyFont="1" applyFill="1" applyBorder="1" applyAlignment="1">
      <alignment horizontal="center" shrinkToFit="1"/>
    </xf>
    <xf numFmtId="0" fontId="6" fillId="3" borderId="25" xfId="0" applyFont="1" applyFill="1" applyBorder="1" applyAlignment="1">
      <alignment horizontal="center" shrinkToFit="1"/>
    </xf>
    <xf numFmtId="0" fontId="16" fillId="3" borderId="25" xfId="0" applyFont="1" applyFill="1" applyBorder="1" applyAlignment="1">
      <alignment horizontal="center" vertical="center"/>
    </xf>
    <xf numFmtId="0" fontId="16" fillId="3" borderId="13" xfId="0" applyFont="1" applyFill="1" applyBorder="1" applyAlignment="1">
      <alignment horizontal="center" vertical="center"/>
    </xf>
    <xf numFmtId="0" fontId="0" fillId="0" borderId="95" xfId="0" applyBorder="1" applyAlignment="1">
      <alignment horizontal="center" vertical="center" wrapText="1"/>
    </xf>
    <xf numFmtId="0" fontId="0" fillId="0" borderId="139" xfId="0" applyBorder="1" applyAlignment="1">
      <alignment horizontal="center" vertical="center" wrapText="1"/>
    </xf>
    <xf numFmtId="0" fontId="6" fillId="3" borderId="63" xfId="0" applyFont="1" applyFill="1" applyBorder="1" applyAlignment="1">
      <alignment horizontal="center"/>
    </xf>
    <xf numFmtId="0" fontId="6" fillId="0" borderId="40" xfId="0" applyFont="1" applyBorder="1" applyAlignment="1">
      <alignment horizontal="center" vertical="center" wrapText="1"/>
    </xf>
    <xf numFmtId="0" fontId="6" fillId="0" borderId="4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59" xfId="0" applyFont="1" applyBorder="1" applyAlignment="1">
      <alignment horizontal="center" vertical="center" wrapText="1"/>
    </xf>
    <xf numFmtId="0" fontId="6" fillId="2" borderId="45" xfId="0" applyFont="1" applyFill="1" applyBorder="1" applyAlignment="1">
      <alignment horizontal="center" vertical="center"/>
    </xf>
    <xf numFmtId="0" fontId="6" fillId="2" borderId="62" xfId="0" applyFont="1" applyFill="1" applyBorder="1" applyAlignment="1">
      <alignment horizontal="center" vertical="center"/>
    </xf>
    <xf numFmtId="0" fontId="6" fillId="2" borderId="60" xfId="0" applyFont="1" applyFill="1" applyBorder="1" applyAlignment="1">
      <alignment horizontal="center" vertical="center"/>
    </xf>
    <xf numFmtId="0" fontId="7" fillId="4" borderId="43" xfId="0" applyFont="1" applyFill="1" applyBorder="1" applyAlignment="1">
      <alignment horizontal="center"/>
    </xf>
    <xf numFmtId="0" fontId="7" fillId="4" borderId="58" xfId="0" applyFont="1" applyFill="1" applyBorder="1" applyAlignment="1">
      <alignment horizontal="center"/>
    </xf>
    <xf numFmtId="0" fontId="7" fillId="4" borderId="109" xfId="0" applyFont="1" applyFill="1" applyBorder="1" applyAlignment="1">
      <alignment horizontal="center"/>
    </xf>
    <xf numFmtId="0" fontId="6" fillId="0" borderId="107" xfId="0" applyFont="1" applyBorder="1" applyAlignment="1">
      <alignment horizontal="center"/>
    </xf>
    <xf numFmtId="0" fontId="6" fillId="0" borderId="108" xfId="0" applyFont="1" applyBorder="1" applyAlignment="1">
      <alignment horizontal="center"/>
    </xf>
    <xf numFmtId="0" fontId="6" fillId="0" borderId="63" xfId="0" applyFont="1" applyBorder="1" applyAlignment="1">
      <alignment horizontal="center"/>
    </xf>
    <xf numFmtId="0" fontId="3" fillId="0" borderId="127" xfId="0" applyFont="1" applyBorder="1" applyAlignment="1">
      <alignment horizontal="center"/>
    </xf>
    <xf numFmtId="0" fontId="3" fillId="0" borderId="128" xfId="0" applyFont="1" applyBorder="1" applyAlignment="1">
      <alignment horizontal="center"/>
    </xf>
    <xf numFmtId="0" fontId="3" fillId="0" borderId="29" xfId="0" applyFont="1" applyBorder="1" applyAlignment="1">
      <alignment horizontal="center"/>
    </xf>
    <xf numFmtId="0" fontId="3" fillId="0" borderId="0" xfId="0" applyFont="1" applyAlignment="1">
      <alignment horizontal="center"/>
    </xf>
    <xf numFmtId="0" fontId="10" fillId="0" borderId="21" xfId="0" applyFont="1" applyBorder="1" applyAlignment="1">
      <alignment horizontal="left" vertical="top" wrapText="1"/>
    </xf>
    <xf numFmtId="0" fontId="10" fillId="0" borderId="63" xfId="0" applyFont="1" applyBorder="1" applyAlignment="1">
      <alignment horizontal="left" vertical="top" wrapText="1"/>
    </xf>
    <xf numFmtId="0" fontId="10" fillId="0" borderId="29" xfId="0" applyFont="1" applyBorder="1" applyAlignment="1">
      <alignment horizontal="left" vertical="top" wrapText="1"/>
    </xf>
    <xf numFmtId="0" fontId="10" fillId="0" borderId="0" xfId="0" applyFont="1" applyAlignment="1">
      <alignment horizontal="left" vertical="top" wrapText="1"/>
    </xf>
    <xf numFmtId="0" fontId="10" fillId="0" borderId="16" xfId="0" applyFont="1" applyBorder="1" applyAlignment="1">
      <alignment horizontal="left" vertical="top" wrapText="1"/>
    </xf>
    <xf numFmtId="0" fontId="10" fillId="0" borderId="67" xfId="0" applyFont="1" applyBorder="1" applyAlignment="1">
      <alignment horizontal="left" vertical="top" wrapText="1"/>
    </xf>
    <xf numFmtId="177" fontId="0" fillId="3" borderId="20" xfId="0" applyNumberFormat="1" applyFill="1" applyBorder="1" applyAlignment="1">
      <alignment horizontal="center" vertical="center"/>
    </xf>
    <xf numFmtId="177" fontId="0" fillId="3" borderId="33" xfId="0" applyNumberFormat="1" applyFill="1" applyBorder="1" applyAlignment="1">
      <alignment horizontal="center" vertical="center"/>
    </xf>
    <xf numFmtId="0" fontId="6" fillId="0" borderId="20" xfId="0" applyFont="1" applyBorder="1" applyAlignment="1">
      <alignment horizontal="left"/>
    </xf>
    <xf numFmtId="0" fontId="6" fillId="0" borderId="25" xfId="0" applyFont="1" applyBorder="1" applyAlignment="1">
      <alignment horizontal="left"/>
    </xf>
    <xf numFmtId="0" fontId="6" fillId="0" borderId="33" xfId="0" applyFont="1" applyBorder="1" applyAlignment="1">
      <alignment horizontal="left"/>
    </xf>
    <xf numFmtId="0" fontId="22" fillId="0" borderId="20" xfId="1" applyFont="1" applyFill="1" applyBorder="1" applyAlignment="1" applyProtection="1">
      <alignment horizontal="center"/>
    </xf>
    <xf numFmtId="0" fontId="22" fillId="0" borderId="25" xfId="1" applyFont="1" applyFill="1" applyBorder="1" applyAlignment="1" applyProtection="1">
      <alignment horizontal="center"/>
    </xf>
    <xf numFmtId="0" fontId="22" fillId="0" borderId="33" xfId="1" applyFont="1" applyFill="1" applyBorder="1" applyAlignment="1" applyProtection="1">
      <alignment horizontal="center"/>
    </xf>
    <xf numFmtId="0" fontId="0" fillId="3" borderId="20" xfId="0" applyFill="1" applyBorder="1" applyAlignment="1">
      <alignment horizontal="center" vertical="center"/>
    </xf>
    <xf numFmtId="0" fontId="0" fillId="3" borderId="33" xfId="0" applyFill="1" applyBorder="1" applyAlignment="1">
      <alignment horizontal="center" vertical="center"/>
    </xf>
    <xf numFmtId="0" fontId="6" fillId="0" borderId="138" xfId="0" applyFont="1" applyBorder="1" applyAlignment="1">
      <alignment horizontal="center" wrapText="1"/>
    </xf>
    <xf numFmtId="0" fontId="6" fillId="0" borderId="60" xfId="0" applyFont="1" applyBorder="1" applyAlignment="1">
      <alignment horizontal="center" wrapText="1"/>
    </xf>
    <xf numFmtId="0" fontId="0" fillId="0" borderId="63"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6" fillId="0" borderId="22" xfId="0" applyFont="1" applyBorder="1" applyAlignment="1">
      <alignment horizontal="center"/>
    </xf>
    <xf numFmtId="0" fontId="6" fillId="0" borderId="109" xfId="0" applyFont="1" applyBorder="1" applyAlignment="1">
      <alignment horizontal="center"/>
    </xf>
    <xf numFmtId="0" fontId="6" fillId="0" borderId="41" xfId="0" applyFont="1" applyBorder="1" applyAlignment="1">
      <alignment horizontal="center" vertical="center" wrapText="1"/>
    </xf>
    <xf numFmtId="0" fontId="6" fillId="0" borderId="19" xfId="0" applyFont="1" applyBorder="1" applyAlignment="1">
      <alignment horizontal="center"/>
    </xf>
    <xf numFmtId="0" fontId="6" fillId="0" borderId="60" xfId="0" applyFont="1" applyBorder="1" applyAlignment="1">
      <alignment horizontal="center"/>
    </xf>
    <xf numFmtId="0" fontId="6" fillId="3" borderId="127" xfId="0" applyFont="1" applyFill="1" applyBorder="1" applyAlignment="1">
      <alignment horizontal="center" shrinkToFit="1"/>
    </xf>
    <xf numFmtId="0" fontId="6" fillId="3" borderId="128" xfId="0" applyFont="1" applyFill="1" applyBorder="1" applyAlignment="1">
      <alignment horizontal="center" shrinkToFit="1"/>
    </xf>
    <xf numFmtId="0" fontId="0" fillId="0" borderId="30" xfId="0" applyBorder="1" applyAlignment="1">
      <alignment horizontal="center" vertical="center"/>
    </xf>
    <xf numFmtId="0" fontId="0" fillId="3" borderId="32" xfId="0" applyFill="1" applyBorder="1" applyAlignment="1">
      <alignment horizontal="center" vertical="center"/>
    </xf>
    <xf numFmtId="0" fontId="0" fillId="3" borderId="37" xfId="0" applyFill="1" applyBorder="1" applyAlignment="1">
      <alignment horizontal="center" vertical="center"/>
    </xf>
    <xf numFmtId="0" fontId="10" fillId="0" borderId="30" xfId="0" applyFont="1" applyBorder="1" applyAlignment="1">
      <alignment horizontal="left" vertical="top" wrapText="1"/>
    </xf>
    <xf numFmtId="0" fontId="6" fillId="3" borderId="133" xfId="0" applyFont="1" applyFill="1" applyBorder="1" applyAlignment="1">
      <alignment horizontal="center" vertical="top" wrapText="1"/>
    </xf>
    <xf numFmtId="0" fontId="6" fillId="3" borderId="134" xfId="0" applyFont="1" applyFill="1" applyBorder="1" applyAlignment="1">
      <alignment horizontal="center" vertical="top" wrapText="1"/>
    </xf>
    <xf numFmtId="0" fontId="6" fillId="3" borderId="125" xfId="0" applyFont="1" applyFill="1" applyBorder="1" applyAlignment="1">
      <alignment horizontal="center" shrinkToFit="1"/>
    </xf>
    <xf numFmtId="0" fontId="6" fillId="3" borderId="126" xfId="0" applyFont="1" applyFill="1" applyBorder="1" applyAlignment="1">
      <alignment horizontal="center" shrinkToFit="1"/>
    </xf>
    <xf numFmtId="0" fontId="6" fillId="3" borderId="131" xfId="0" applyFont="1" applyFill="1" applyBorder="1" applyAlignment="1">
      <alignment horizontal="center" vertical="top" wrapText="1"/>
    </xf>
    <xf numFmtId="0" fontId="6" fillId="3" borderId="132" xfId="0" applyFont="1" applyFill="1" applyBorder="1" applyAlignment="1">
      <alignment horizontal="center" vertical="top" wrapText="1"/>
    </xf>
    <xf numFmtId="0" fontId="0" fillId="0" borderId="34" xfId="0" applyBorder="1" applyAlignment="1">
      <alignment horizontal="center"/>
    </xf>
    <xf numFmtId="0" fontId="0" fillId="0" borderId="38" xfId="0" applyBorder="1" applyAlignment="1">
      <alignment horizontal="center"/>
    </xf>
    <xf numFmtId="0" fontId="0" fillId="0" borderId="70" xfId="0" applyBorder="1" applyAlignment="1">
      <alignment horizontal="center"/>
    </xf>
    <xf numFmtId="0" fontId="7" fillId="0" borderId="34" xfId="0" applyFont="1" applyBorder="1" applyAlignment="1">
      <alignment horizontal="center" vertical="center"/>
    </xf>
    <xf numFmtId="0" fontId="7" fillId="0" borderId="70" xfId="0" applyFont="1" applyBorder="1" applyAlignment="1">
      <alignment horizontal="center" vertical="center"/>
    </xf>
    <xf numFmtId="0" fontId="6" fillId="0" borderId="40" xfId="0" applyFont="1" applyBorder="1" applyAlignment="1">
      <alignment horizontal="center" wrapText="1"/>
    </xf>
    <xf numFmtId="0" fontId="6" fillId="0" borderId="42" xfId="0" applyFont="1" applyBorder="1" applyAlignment="1">
      <alignment horizontal="center" wrapText="1"/>
    </xf>
    <xf numFmtId="0" fontId="10" fillId="0" borderId="19" xfId="0" applyFont="1" applyBorder="1" applyAlignment="1">
      <alignment horizontal="center"/>
    </xf>
    <xf numFmtId="0" fontId="10" fillId="0" borderId="60" xfId="0" applyFont="1" applyBorder="1" applyAlignment="1">
      <alignment horizontal="center"/>
    </xf>
    <xf numFmtId="0" fontId="0" fillId="0" borderId="14" xfId="0" applyBorder="1" applyAlignment="1">
      <alignment horizontal="center" vertical="center"/>
    </xf>
    <xf numFmtId="0" fontId="0" fillId="0" borderId="35" xfId="0" applyBorder="1" applyAlignment="1">
      <alignment horizontal="center" vertical="center"/>
    </xf>
    <xf numFmtId="0" fontId="10" fillId="0" borderId="22" xfId="0" applyFont="1" applyBorder="1" applyAlignment="1">
      <alignment horizontal="center"/>
    </xf>
    <xf numFmtId="0" fontId="10" fillId="0" borderId="109" xfId="0" applyFont="1" applyBorder="1" applyAlignment="1">
      <alignment horizontal="center"/>
    </xf>
    <xf numFmtId="0" fontId="38" fillId="0" borderId="17" xfId="0" applyFont="1" applyBorder="1" applyAlignment="1">
      <alignment horizontal="center" vertical="center" wrapText="1"/>
    </xf>
    <xf numFmtId="0" fontId="38" fillId="0" borderId="116" xfId="0" applyFont="1" applyBorder="1" applyAlignment="1">
      <alignment horizontal="center" vertical="center" wrapText="1"/>
    </xf>
    <xf numFmtId="0" fontId="33" fillId="0" borderId="44" xfId="0" applyFont="1" applyBorder="1" applyAlignment="1">
      <alignment horizontal="center" vertical="center" wrapText="1"/>
    </xf>
    <xf numFmtId="0" fontId="33" fillId="0" borderId="69" xfId="0" applyFont="1" applyBorder="1" applyAlignment="1">
      <alignment horizontal="center" vertical="center" wrapText="1"/>
    </xf>
    <xf numFmtId="0" fontId="33" fillId="0" borderId="47" xfId="0" applyFont="1" applyBorder="1" applyAlignment="1">
      <alignment horizontal="center" vertical="center" wrapText="1"/>
    </xf>
    <xf numFmtId="0" fontId="33" fillId="0" borderId="37" xfId="0" applyFont="1" applyBorder="1" applyAlignment="1">
      <alignment horizontal="center" vertical="center" wrapText="1"/>
    </xf>
    <xf numFmtId="0" fontId="0" fillId="0" borderId="19" xfId="0" applyBorder="1" applyAlignment="1">
      <alignment horizontal="center" vertical="center"/>
    </xf>
    <xf numFmtId="0" fontId="0" fillId="0" borderId="60" xfId="0" applyBorder="1" applyAlignment="1">
      <alignment horizontal="center" vertical="center"/>
    </xf>
    <xf numFmtId="181" fontId="7" fillId="4" borderId="45" xfId="0" applyNumberFormat="1" applyFont="1" applyFill="1" applyBorder="1" applyAlignment="1">
      <alignment horizontal="center" vertical="top" wrapText="1"/>
    </xf>
    <xf numFmtId="181" fontId="7" fillId="4" borderId="60" xfId="0" applyNumberFormat="1" applyFont="1" applyFill="1" applyBorder="1" applyAlignment="1">
      <alignment horizontal="center" vertical="top" wrapText="1"/>
    </xf>
    <xf numFmtId="0" fontId="10" fillId="0" borderId="14" xfId="0" applyFont="1" applyBorder="1" applyAlignment="1">
      <alignment horizontal="center" vertical="center"/>
    </xf>
    <xf numFmtId="0" fontId="10" fillId="0" borderId="35" xfId="0" applyFont="1" applyBorder="1" applyAlignment="1">
      <alignment horizontal="center" vertical="center"/>
    </xf>
    <xf numFmtId="0" fontId="10" fillId="0" borderId="32" xfId="0" applyFont="1" applyBorder="1" applyAlignment="1">
      <alignment horizontal="center" vertical="center"/>
    </xf>
    <xf numFmtId="0" fontId="10" fillId="0" borderId="37" xfId="0" applyFont="1" applyBorder="1" applyAlignment="1">
      <alignment horizontal="center" vertical="center"/>
    </xf>
    <xf numFmtId="0" fontId="10" fillId="0" borderId="24" xfId="0" applyFont="1" applyBorder="1" applyAlignment="1">
      <alignment horizontal="center" vertical="center" wrapText="1"/>
    </xf>
    <xf numFmtId="0" fontId="10" fillId="0" borderId="11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17" xfId="0" applyFont="1" applyBorder="1" applyAlignment="1">
      <alignment horizontal="center" vertical="center" wrapText="1"/>
    </xf>
    <xf numFmtId="0" fontId="43" fillId="0" borderId="40" xfId="0" applyFont="1" applyBorder="1" applyAlignment="1">
      <alignment horizontal="center" vertical="center" wrapText="1"/>
    </xf>
    <xf numFmtId="0" fontId="43" fillId="0" borderId="42"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109" xfId="0" applyFont="1" applyBorder="1" applyAlignment="1">
      <alignment horizontal="center" vertical="center" wrapText="1"/>
    </xf>
    <xf numFmtId="0" fontId="0" fillId="0" borderId="24"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178" fontId="16" fillId="4" borderId="19" xfId="0" applyNumberFormat="1" applyFont="1" applyFill="1" applyBorder="1" applyAlignment="1">
      <alignment horizontal="center" vertical="center"/>
    </xf>
    <xf numFmtId="178" fontId="16" fillId="4" borderId="62" xfId="0" applyNumberFormat="1" applyFont="1" applyFill="1" applyBorder="1" applyAlignment="1">
      <alignment horizontal="center" vertical="center"/>
    </xf>
    <xf numFmtId="0" fontId="6" fillId="0" borderId="43"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109" xfId="0" applyFont="1" applyBorder="1" applyAlignment="1">
      <alignment horizontal="center" vertical="center" wrapText="1"/>
    </xf>
    <xf numFmtId="178" fontId="21" fillId="4" borderId="19" xfId="0" applyNumberFormat="1" applyFont="1" applyFill="1" applyBorder="1" applyAlignment="1">
      <alignment horizontal="center" vertical="center"/>
    </xf>
    <xf numFmtId="178" fontId="21" fillId="4" borderId="62" xfId="0" applyNumberFormat="1" applyFont="1" applyFill="1" applyBorder="1" applyAlignment="1">
      <alignment horizontal="center" vertical="center"/>
    </xf>
    <xf numFmtId="0" fontId="50" fillId="0" borderId="0" xfId="2" applyAlignment="1" applyProtection="1">
      <alignment horizontal="left" vertical="top" wrapText="1"/>
    </xf>
    <xf numFmtId="0" fontId="15" fillId="0" borderId="0" xfId="0" applyFont="1" applyAlignment="1">
      <alignment horizontal="left" vertical="top" wrapText="1"/>
    </xf>
    <xf numFmtId="0" fontId="0" fillId="0" borderId="73" xfId="0" applyBorder="1" applyAlignment="1">
      <alignment horizontal="center" vertical="center"/>
    </xf>
    <xf numFmtId="0" fontId="0" fillId="0" borderId="39" xfId="0" applyBorder="1" applyAlignment="1">
      <alignment horizontal="center" vertical="center"/>
    </xf>
    <xf numFmtId="0" fontId="0" fillId="0" borderId="58" xfId="0" applyBorder="1" applyAlignment="1">
      <alignment horizontal="center" vertical="center"/>
    </xf>
    <xf numFmtId="0" fontId="16" fillId="0" borderId="22" xfId="0" applyFont="1" applyBorder="1" applyAlignment="1">
      <alignment horizontal="center" vertical="center"/>
    </xf>
    <xf numFmtId="0" fontId="16" fillId="0" borderId="39" xfId="0" applyFont="1" applyBorder="1" applyAlignment="1">
      <alignment horizontal="center" vertical="center"/>
    </xf>
    <xf numFmtId="0" fontId="16" fillId="0" borderId="58" xfId="0" applyFont="1" applyBorder="1" applyAlignment="1">
      <alignment horizontal="center" vertical="center"/>
    </xf>
    <xf numFmtId="0" fontId="3" fillId="0" borderId="0" xfId="0" applyFont="1" applyAlignment="1">
      <alignment horizontal="left" vertical="top" wrapText="1"/>
    </xf>
    <xf numFmtId="0" fontId="0" fillId="0" borderId="43" xfId="0" applyBorder="1" applyAlignment="1">
      <alignment horizontal="center" vertical="center" wrapText="1" shrinkToFit="1"/>
    </xf>
    <xf numFmtId="0" fontId="0" fillId="0" borderId="58" xfId="0" applyBorder="1" applyAlignment="1">
      <alignment horizontal="center" vertical="center" wrapText="1" shrinkToFit="1"/>
    </xf>
    <xf numFmtId="0" fontId="0" fillId="3" borderId="65" xfId="0" applyFill="1" applyBorder="1" applyAlignment="1" applyProtection="1">
      <alignment horizontal="center" shrinkToFit="1"/>
      <protection locked="0"/>
    </xf>
    <xf numFmtId="0" fontId="0" fillId="3" borderId="66" xfId="0" applyFill="1" applyBorder="1" applyAlignment="1" applyProtection="1">
      <alignment horizontal="center" shrinkToFit="1"/>
      <protection locked="0"/>
    </xf>
    <xf numFmtId="0" fontId="6" fillId="0" borderId="64" xfId="0" applyFont="1" applyBorder="1" applyAlignment="1">
      <alignment horizontal="center" shrinkToFit="1"/>
    </xf>
    <xf numFmtId="0" fontId="6" fillId="0" borderId="65" xfId="0" applyFont="1" applyBorder="1" applyAlignment="1">
      <alignment horizontal="center" shrinkToFit="1"/>
    </xf>
    <xf numFmtId="0" fontId="6" fillId="3" borderId="56" xfId="0" applyFont="1" applyFill="1" applyBorder="1" applyAlignment="1" applyProtection="1">
      <alignment horizontal="center" shrinkToFit="1"/>
      <protection locked="0"/>
    </xf>
    <xf numFmtId="0" fontId="6" fillId="3" borderId="38" xfId="0" applyFont="1" applyFill="1" applyBorder="1" applyAlignment="1" applyProtection="1">
      <alignment horizontal="center" shrinkToFit="1"/>
      <protection locked="0"/>
    </xf>
    <xf numFmtId="0" fontId="16" fillId="3" borderId="38" xfId="0" applyFont="1" applyFill="1" applyBorder="1" applyAlignment="1" applyProtection="1">
      <alignment horizontal="center" vertical="center"/>
      <protection locked="0"/>
    </xf>
    <xf numFmtId="0" fontId="16" fillId="3" borderId="70" xfId="0" applyFont="1" applyFill="1" applyBorder="1" applyAlignment="1" applyProtection="1">
      <alignment horizontal="center" vertical="center"/>
      <protection locked="0"/>
    </xf>
    <xf numFmtId="0" fontId="6" fillId="0" borderId="116" xfId="0" applyFont="1" applyBorder="1" applyAlignment="1">
      <alignment horizontal="center" shrinkToFit="1"/>
    </xf>
    <xf numFmtId="0" fontId="6" fillId="0" borderId="53" xfId="0" applyFont="1" applyBorder="1" applyAlignment="1">
      <alignment horizontal="center" shrinkToFit="1"/>
    </xf>
    <xf numFmtId="0" fontId="6" fillId="3" borderId="47" xfId="0" applyFont="1" applyFill="1" applyBorder="1" applyAlignment="1" applyProtection="1">
      <alignment horizontal="center" shrinkToFit="1"/>
      <protection locked="0"/>
    </xf>
    <xf numFmtId="0" fontId="6" fillId="3" borderId="30" xfId="0" applyFont="1" applyFill="1" applyBorder="1" applyAlignment="1" applyProtection="1">
      <alignment horizontal="center" shrinkToFit="1"/>
      <protection locked="0"/>
    </xf>
    <xf numFmtId="0" fontId="6" fillId="3" borderId="30" xfId="0" applyFont="1" applyFill="1" applyBorder="1" applyAlignment="1" applyProtection="1">
      <alignment horizontal="center"/>
      <protection locked="0"/>
    </xf>
    <xf numFmtId="0" fontId="6" fillId="3" borderId="37" xfId="0" applyFont="1" applyFill="1" applyBorder="1" applyAlignment="1" applyProtection="1">
      <alignment horizontal="center"/>
      <protection locked="0"/>
    </xf>
    <xf numFmtId="0" fontId="6" fillId="0" borderId="0" xfId="0" applyFont="1" applyAlignment="1">
      <alignment horizontal="center"/>
    </xf>
    <xf numFmtId="0" fontId="0" fillId="0" borderId="4" xfId="0" applyBorder="1" applyAlignment="1">
      <alignment horizontal="center" vertical="center" wrapText="1"/>
    </xf>
    <xf numFmtId="0" fontId="0" fillId="0" borderId="45" xfId="0" applyBorder="1" applyAlignment="1">
      <alignment horizontal="center" vertical="center" wrapText="1"/>
    </xf>
    <xf numFmtId="0" fontId="0" fillId="0" borderId="6"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43" xfId="0" applyBorder="1" applyAlignment="1">
      <alignment horizontal="center" vertical="center" wrapText="1"/>
    </xf>
    <xf numFmtId="0" fontId="7" fillId="4" borderId="53" xfId="0" applyFont="1" applyFill="1" applyBorder="1" applyAlignment="1">
      <alignment horizontal="center" vertical="top" wrapText="1"/>
    </xf>
    <xf numFmtId="0" fontId="7" fillId="4" borderId="117" xfId="0" applyFont="1" applyFill="1" applyBorder="1" applyAlignment="1">
      <alignment horizontal="center" vertical="top" wrapText="1"/>
    </xf>
    <xf numFmtId="0" fontId="6" fillId="0" borderId="24" xfId="0" applyFont="1" applyBorder="1" applyAlignment="1">
      <alignment horizontal="center" wrapText="1"/>
    </xf>
    <xf numFmtId="0" fontId="6" fillId="0" borderId="116" xfId="0" applyFont="1" applyBorder="1" applyAlignment="1">
      <alignment horizontal="center" wrapText="1"/>
    </xf>
    <xf numFmtId="178" fontId="21" fillId="4" borderId="6" xfId="0" applyNumberFormat="1" applyFont="1" applyFill="1" applyBorder="1" applyAlignment="1">
      <alignment horizontal="center" vertical="center"/>
    </xf>
    <xf numFmtId="178" fontId="21" fillId="4" borderId="1" xfId="0" applyNumberFormat="1" applyFont="1" applyFill="1" applyBorder="1" applyAlignment="1">
      <alignment horizontal="center" vertical="center"/>
    </xf>
    <xf numFmtId="0" fontId="7" fillId="4" borderId="3" xfId="0" applyFont="1" applyFill="1" applyBorder="1" applyAlignment="1">
      <alignment horizontal="center" vertical="top" wrapText="1"/>
    </xf>
    <xf numFmtId="0" fontId="7" fillId="4" borderId="54" xfId="0" applyFont="1" applyFill="1" applyBorder="1" applyAlignment="1">
      <alignment horizontal="center" vertical="top" wrapText="1"/>
    </xf>
    <xf numFmtId="181" fontId="7" fillId="4" borderId="56" xfId="0" applyNumberFormat="1" applyFont="1" applyFill="1" applyBorder="1" applyAlignment="1">
      <alignment horizontal="center" vertical="top" wrapText="1"/>
    </xf>
    <xf numFmtId="181" fontId="7" fillId="4" borderId="70" xfId="0" applyNumberFormat="1" applyFont="1" applyFill="1" applyBorder="1" applyAlignment="1">
      <alignment horizontal="center" vertical="top" wrapText="1"/>
    </xf>
    <xf numFmtId="0" fontId="0" fillId="0" borderId="15" xfId="0" applyBorder="1" applyAlignment="1">
      <alignment horizontal="center" vertical="center"/>
    </xf>
    <xf numFmtId="0" fontId="0" fillId="0" borderId="4" xfId="0" applyBorder="1" applyAlignment="1">
      <alignment horizontal="center"/>
    </xf>
    <xf numFmtId="0" fontId="0" fillId="0" borderId="10" xfId="0" applyBorder="1" applyAlignment="1">
      <alignment horizontal="center"/>
    </xf>
    <xf numFmtId="0" fontId="0" fillId="0" borderId="5" xfId="0" applyBorder="1" applyAlignment="1">
      <alignment horizontal="center"/>
    </xf>
    <xf numFmtId="0" fontId="6" fillId="0" borderId="1" xfId="0" applyFont="1" applyBorder="1" applyAlignment="1">
      <alignment horizontal="center"/>
    </xf>
    <xf numFmtId="0" fontId="0" fillId="0" borderId="92" xfId="0" applyBorder="1" applyAlignment="1">
      <alignment horizontal="center" vertical="center" wrapText="1"/>
    </xf>
    <xf numFmtId="0" fontId="0" fillId="0" borderId="81" xfId="0"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16" fillId="3" borderId="6" xfId="0" applyFont="1" applyFill="1" applyBorder="1" applyAlignment="1" applyProtection="1">
      <alignment horizontal="left" vertical="center"/>
      <protection locked="0"/>
    </xf>
    <xf numFmtId="0" fontId="16" fillId="3" borderId="1" xfId="0" applyFont="1" applyFill="1" applyBorder="1" applyAlignment="1" applyProtection="1">
      <alignment horizontal="left" vertical="center"/>
      <protection locked="0"/>
    </xf>
    <xf numFmtId="0" fontId="16" fillId="3" borderId="1" xfId="0" applyFont="1" applyFill="1" applyBorder="1" applyAlignment="1" applyProtection="1">
      <alignment horizontal="left" vertical="center" shrinkToFit="1"/>
      <protection locked="0"/>
    </xf>
    <xf numFmtId="0" fontId="16" fillId="3" borderId="12" xfId="0" applyFont="1" applyFill="1" applyBorder="1" applyAlignment="1" applyProtection="1">
      <alignment horizontal="left" vertical="center"/>
      <protection locked="0"/>
    </xf>
    <xf numFmtId="0" fontId="0" fillId="0" borderId="6"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21" fillId="0" borderId="1" xfId="0" applyFont="1" applyBorder="1" applyAlignment="1">
      <alignment horizontal="center" vertical="center" shrinkToFit="1"/>
    </xf>
    <xf numFmtId="0" fontId="21" fillId="0" borderId="11" xfId="0" applyFont="1" applyBorder="1" applyAlignment="1">
      <alignment horizontal="center" vertical="center" shrinkToFit="1"/>
    </xf>
    <xf numFmtId="0" fontId="0" fillId="0" borderId="43" xfId="0" applyBorder="1" applyAlignment="1">
      <alignment horizontal="center" vertical="center"/>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16" fillId="3" borderId="6" xfId="0" applyFont="1" applyFill="1" applyBorder="1" applyAlignment="1" applyProtection="1">
      <alignment horizontal="left" vertical="center" wrapText="1"/>
      <protection locked="0"/>
    </xf>
    <xf numFmtId="0" fontId="16" fillId="3" borderId="1" xfId="0" applyFont="1" applyFill="1" applyBorder="1" applyAlignment="1" applyProtection="1">
      <alignment horizontal="left" vertical="center" wrapText="1"/>
      <protection locked="0"/>
    </xf>
    <xf numFmtId="0" fontId="16" fillId="3" borderId="12" xfId="0" applyFont="1" applyFill="1" applyBorder="1" applyAlignment="1" applyProtection="1">
      <alignment horizontal="left" vertical="center" wrapText="1"/>
      <protection locked="0"/>
    </xf>
    <xf numFmtId="178" fontId="24" fillId="4" borderId="3" xfId="0" applyNumberFormat="1" applyFont="1" applyFill="1" applyBorder="1" applyAlignment="1">
      <alignment horizontal="center" vertical="center" wrapText="1"/>
    </xf>
    <xf numFmtId="178" fontId="24" fillId="4" borderId="12" xfId="0" applyNumberFormat="1" applyFont="1" applyFill="1" applyBorder="1" applyAlignment="1">
      <alignment horizontal="center" vertical="center" wrapText="1"/>
    </xf>
    <xf numFmtId="178" fontId="24" fillId="4" borderId="33" xfId="0" applyNumberFormat="1" applyFont="1" applyFill="1" applyBorder="1" applyAlignment="1">
      <alignment horizontal="center" vertical="center" wrapText="1"/>
    </xf>
    <xf numFmtId="0" fontId="16" fillId="3" borderId="4" xfId="0" applyFont="1" applyFill="1" applyBorder="1" applyAlignment="1" applyProtection="1">
      <alignment horizontal="left" vertical="center" wrapText="1"/>
      <protection locked="0"/>
    </xf>
    <xf numFmtId="0" fontId="16" fillId="3" borderId="10" xfId="0" applyFont="1" applyFill="1" applyBorder="1" applyAlignment="1" applyProtection="1">
      <alignment horizontal="left" vertical="center" wrapText="1"/>
      <protection locked="0"/>
    </xf>
    <xf numFmtId="0" fontId="16" fillId="3" borderId="45" xfId="0" applyFont="1" applyFill="1" applyBorder="1" applyAlignment="1" applyProtection="1">
      <alignment horizontal="left" vertical="center" wrapText="1"/>
      <protection locked="0"/>
    </xf>
    <xf numFmtId="178" fontId="24" fillId="4" borderId="45" xfId="0" applyNumberFormat="1" applyFont="1" applyFill="1" applyBorder="1" applyAlignment="1">
      <alignment horizontal="center" vertical="center" wrapText="1"/>
    </xf>
    <xf numFmtId="178" fontId="24" fillId="4" borderId="62" xfId="0" applyNumberFormat="1" applyFont="1" applyFill="1" applyBorder="1" applyAlignment="1">
      <alignment horizontal="center" vertical="center" wrapText="1"/>
    </xf>
    <xf numFmtId="178" fontId="24" fillId="4" borderId="60" xfId="0" applyNumberFormat="1" applyFont="1" applyFill="1" applyBorder="1" applyAlignment="1">
      <alignment horizontal="center" vertical="center" wrapText="1"/>
    </xf>
    <xf numFmtId="178" fontId="24" fillId="4" borderId="1" xfId="0" applyNumberFormat="1" applyFont="1" applyFill="1" applyBorder="1" applyAlignment="1">
      <alignment horizontal="center" vertical="center" wrapText="1"/>
    </xf>
    <xf numFmtId="178" fontId="24" fillId="4" borderId="10" xfId="0" applyNumberFormat="1" applyFont="1" applyFill="1" applyBorder="1" applyAlignment="1">
      <alignment horizontal="center" vertical="center" wrapText="1"/>
    </xf>
    <xf numFmtId="0" fontId="6" fillId="0" borderId="93" xfId="0" applyFont="1" applyBorder="1" applyAlignment="1">
      <alignment horizontal="center"/>
    </xf>
    <xf numFmtId="0" fontId="6" fillId="0" borderId="94" xfId="0" applyFont="1" applyBorder="1" applyAlignment="1">
      <alignment horizontal="center"/>
    </xf>
    <xf numFmtId="0" fontId="3" fillId="0" borderId="85" xfId="0" applyFont="1" applyBorder="1" applyAlignment="1">
      <alignment horizontal="center"/>
    </xf>
    <xf numFmtId="0" fontId="3" fillId="0" borderId="82" xfId="0" applyFont="1" applyBorder="1" applyAlignment="1">
      <alignment horizontal="center"/>
    </xf>
    <xf numFmtId="0" fontId="10" fillId="0" borderId="0" xfId="0" applyFont="1" applyAlignment="1">
      <alignment horizontal="center"/>
    </xf>
    <xf numFmtId="0" fontId="6" fillId="0" borderId="89" xfId="0" applyFont="1" applyBorder="1" applyAlignment="1">
      <alignment horizontal="center" wrapText="1"/>
    </xf>
    <xf numFmtId="0" fontId="6" fillId="0" borderId="90" xfId="0" applyFont="1" applyBorder="1" applyAlignment="1">
      <alignment horizontal="center" wrapText="1"/>
    </xf>
    <xf numFmtId="0" fontId="0" fillId="3" borderId="20" xfId="0" applyFill="1" applyBorder="1" applyAlignment="1" applyProtection="1">
      <alignment horizontal="center" vertical="center"/>
      <protection locked="0"/>
    </xf>
    <xf numFmtId="0" fontId="0" fillId="3" borderId="33" xfId="0" applyFill="1" applyBorder="1" applyAlignment="1" applyProtection="1">
      <alignment horizontal="center" vertical="center"/>
      <protection locked="0"/>
    </xf>
    <xf numFmtId="0" fontId="6" fillId="0" borderId="13" xfId="0" applyFont="1" applyBorder="1" applyAlignment="1">
      <alignment horizontal="left" shrinkToFit="1"/>
    </xf>
    <xf numFmtId="0" fontId="6" fillId="0" borderId="1" xfId="0" applyFont="1" applyBorder="1" applyAlignment="1">
      <alignment horizontal="left" shrinkToFit="1"/>
    </xf>
    <xf numFmtId="0" fontId="6" fillId="0" borderId="7" xfId="0" applyFont="1" applyBorder="1" applyAlignment="1">
      <alignment horizontal="left" shrinkToFit="1"/>
    </xf>
    <xf numFmtId="177" fontId="0" fillId="3" borderId="20" xfId="0" applyNumberFormat="1" applyFill="1" applyBorder="1" applyAlignment="1" applyProtection="1">
      <alignment horizontal="center" vertical="center"/>
      <protection locked="0"/>
    </xf>
    <xf numFmtId="177" fontId="0" fillId="3" borderId="33" xfId="0" applyNumberFormat="1" applyFill="1" applyBorder="1" applyAlignment="1" applyProtection="1">
      <alignment horizontal="center" vertical="center"/>
      <protection locked="0"/>
    </xf>
    <xf numFmtId="0" fontId="6" fillId="0" borderId="13" xfId="0" applyFont="1" applyBorder="1" applyAlignment="1">
      <alignment horizontal="left"/>
    </xf>
    <xf numFmtId="0" fontId="6" fillId="0" borderId="1" xfId="0" applyFont="1" applyBorder="1" applyAlignment="1">
      <alignment horizontal="left"/>
    </xf>
    <xf numFmtId="0" fontId="6" fillId="0" borderId="7" xfId="0" applyFont="1" applyBorder="1" applyAlignment="1">
      <alignment horizontal="left"/>
    </xf>
    <xf numFmtId="0" fontId="0" fillId="3" borderId="21" xfId="0" applyFill="1" applyBorder="1" applyAlignment="1" applyProtection="1">
      <alignment horizontal="center" vertical="center"/>
      <protection locked="0"/>
    </xf>
    <xf numFmtId="0" fontId="0" fillId="3" borderId="69"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0" fontId="0" fillId="3" borderId="36"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6" fillId="3" borderId="91" xfId="0" applyFont="1" applyFill="1" applyBorder="1" applyAlignment="1" applyProtection="1">
      <alignment horizontal="center" shrinkToFit="1"/>
      <protection locked="0"/>
    </xf>
    <xf numFmtId="0" fontId="6" fillId="3" borderId="76" xfId="0" applyFont="1" applyFill="1" applyBorder="1" applyAlignment="1" applyProtection="1">
      <alignment horizontal="center" shrinkToFit="1"/>
      <protection locked="0"/>
    </xf>
    <xf numFmtId="0" fontId="29" fillId="0" borderId="93" xfId="0" applyFont="1" applyBorder="1" applyAlignment="1">
      <alignment horizontal="center" vertical="center"/>
    </xf>
    <xf numFmtId="0" fontId="29" fillId="0" borderId="94" xfId="0" applyFont="1" applyBorder="1" applyAlignment="1">
      <alignment horizontal="center" vertical="center"/>
    </xf>
    <xf numFmtId="0" fontId="6" fillId="3" borderId="104" xfId="0" applyFont="1" applyFill="1" applyBorder="1" applyAlignment="1" applyProtection="1">
      <alignment horizontal="center" vertical="top" wrapText="1"/>
      <protection locked="0"/>
    </xf>
    <xf numFmtId="0" fontId="6" fillId="3" borderId="91" xfId="0" applyFont="1" applyFill="1" applyBorder="1" applyAlignment="1" applyProtection="1">
      <alignment horizontal="center" vertical="top" wrapText="1"/>
      <protection locked="0"/>
    </xf>
    <xf numFmtId="0" fontId="0" fillId="3" borderId="20" xfId="0" applyFill="1" applyBorder="1" applyAlignment="1" applyProtection="1">
      <alignment horizontal="center" shrinkToFit="1"/>
      <protection locked="0"/>
    </xf>
    <xf numFmtId="0" fontId="0" fillId="3" borderId="33" xfId="0" applyFill="1" applyBorder="1" applyAlignment="1" applyProtection="1">
      <alignment horizontal="center" shrinkToFit="1"/>
      <protection locked="0"/>
    </xf>
    <xf numFmtId="0" fontId="0" fillId="3" borderId="20" xfId="0" applyFill="1" applyBorder="1" applyAlignment="1" applyProtection="1">
      <alignment horizontal="center" vertical="center" shrinkToFit="1"/>
      <protection locked="0"/>
    </xf>
    <xf numFmtId="0" fontId="0" fillId="3" borderId="33" xfId="0" applyFill="1" applyBorder="1" applyAlignment="1" applyProtection="1">
      <alignment horizontal="center" vertical="center" shrinkToFit="1"/>
      <protection locked="0"/>
    </xf>
    <xf numFmtId="0" fontId="0" fillId="3" borderId="16" xfId="0" applyFill="1" applyBorder="1" applyAlignment="1" applyProtection="1">
      <alignment horizontal="center" vertical="center"/>
      <protection locked="0"/>
    </xf>
    <xf numFmtId="0" fontId="0" fillId="3" borderId="68" xfId="0" applyFill="1" applyBorder="1" applyAlignment="1" applyProtection="1">
      <alignment horizontal="center" vertical="center"/>
      <protection locked="0"/>
    </xf>
    <xf numFmtId="0" fontId="25" fillId="0" borderId="63" xfId="0" applyFont="1" applyBorder="1" applyAlignment="1">
      <alignment horizontal="center" wrapText="1"/>
    </xf>
    <xf numFmtId="0" fontId="25" fillId="0" borderId="69" xfId="0" applyFont="1" applyBorder="1" applyAlignment="1">
      <alignment horizontal="center" wrapText="1"/>
    </xf>
    <xf numFmtId="0" fontId="6" fillId="3" borderId="99" xfId="0" applyFont="1" applyFill="1" applyBorder="1" applyAlignment="1" applyProtection="1">
      <alignment horizontal="center" vertical="center" wrapText="1"/>
      <protection locked="0"/>
    </xf>
    <xf numFmtId="0" fontId="6" fillId="3" borderId="102" xfId="0" applyFont="1" applyFill="1" applyBorder="1" applyAlignment="1" applyProtection="1">
      <alignment horizontal="center" vertical="center" wrapText="1"/>
      <protection locked="0"/>
    </xf>
    <xf numFmtId="0" fontId="6" fillId="3" borderId="119" xfId="0" applyFont="1" applyFill="1" applyBorder="1" applyAlignment="1" applyProtection="1">
      <alignment horizontal="center" vertical="center" wrapText="1"/>
      <protection locked="0"/>
    </xf>
    <xf numFmtId="179" fontId="0" fillId="3" borderId="56" xfId="0" applyNumberFormat="1" applyFill="1" applyBorder="1" applyAlignment="1" applyProtection="1">
      <alignment horizontal="center"/>
      <protection locked="0"/>
    </xf>
    <xf numFmtId="179" fontId="0" fillId="3" borderId="38" xfId="0" applyNumberFormat="1" applyFill="1" applyBorder="1" applyAlignment="1" applyProtection="1">
      <alignment horizontal="center"/>
      <protection locked="0"/>
    </xf>
    <xf numFmtId="179" fontId="0" fillId="3" borderId="55" xfId="0" applyNumberFormat="1" applyFill="1" applyBorder="1" applyAlignment="1" applyProtection="1">
      <alignment horizontal="center"/>
      <protection locked="0"/>
    </xf>
    <xf numFmtId="0" fontId="34" fillId="0" borderId="0" xfId="0" applyFont="1" applyAlignment="1">
      <alignment horizontal="center" wrapText="1"/>
    </xf>
    <xf numFmtId="0" fontId="10" fillId="0" borderId="26"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4" xfId="0" applyFont="1" applyBorder="1" applyAlignment="1">
      <alignment horizontal="center"/>
    </xf>
    <xf numFmtId="0" fontId="10" fillId="0" borderId="23" xfId="0" applyFont="1" applyBorder="1" applyAlignment="1">
      <alignment horizontal="center"/>
    </xf>
    <xf numFmtId="0" fontId="6" fillId="0" borderId="64" xfId="0" applyFont="1" applyBorder="1" applyAlignment="1">
      <alignment horizontal="center"/>
    </xf>
    <xf numFmtId="0" fontId="6" fillId="0" borderId="66" xfId="0" applyFont="1" applyBorder="1" applyAlignment="1">
      <alignment horizontal="center"/>
    </xf>
    <xf numFmtId="0" fontId="16" fillId="2" borderId="47" xfId="0" applyFont="1" applyFill="1" applyBorder="1" applyAlignment="1">
      <alignment horizontal="center" vertical="center" wrapText="1"/>
    </xf>
    <xf numFmtId="0" fontId="16" fillId="2" borderId="37" xfId="0" applyFont="1" applyFill="1" applyBorder="1" applyAlignment="1">
      <alignment horizontal="center" vertical="center" wrapText="1"/>
    </xf>
    <xf numFmtId="178" fontId="24" fillId="4" borderId="53" xfId="0" applyNumberFormat="1" applyFont="1" applyFill="1" applyBorder="1" applyAlignment="1">
      <alignment horizontal="center" vertical="center" wrapText="1"/>
    </xf>
    <xf numFmtId="178" fontId="24" fillId="4" borderId="47" xfId="0" applyNumberFormat="1" applyFont="1" applyFill="1" applyBorder="1" applyAlignment="1">
      <alignment horizontal="center" vertical="center" wrapText="1"/>
    </xf>
    <xf numFmtId="178" fontId="24" fillId="4" borderId="37" xfId="0" applyNumberFormat="1" applyFont="1" applyFill="1" applyBorder="1" applyAlignment="1">
      <alignment horizontal="center" vertical="center" wrapText="1"/>
    </xf>
    <xf numFmtId="176" fontId="0" fillId="3" borderId="20" xfId="0" applyNumberFormat="1" applyFill="1" applyBorder="1" applyAlignment="1" applyProtection="1">
      <alignment horizontal="center" vertical="center"/>
      <protection locked="0"/>
    </xf>
    <xf numFmtId="176" fontId="0" fillId="3" borderId="33" xfId="0" applyNumberFormat="1" applyFill="1" applyBorder="1" applyAlignment="1" applyProtection="1">
      <alignment horizontal="center" vertical="center"/>
      <protection locked="0"/>
    </xf>
    <xf numFmtId="0" fontId="6" fillId="0" borderId="84" xfId="0" applyFont="1" applyBorder="1" applyAlignment="1">
      <alignment horizontal="center"/>
    </xf>
    <xf numFmtId="0" fontId="6" fillId="0" borderId="80" xfId="0" applyFont="1" applyBorder="1" applyAlignment="1">
      <alignment horizontal="center"/>
    </xf>
    <xf numFmtId="0" fontId="0" fillId="0" borderId="92" xfId="0" applyBorder="1" applyAlignment="1">
      <alignment horizontal="center" vertical="center"/>
    </xf>
    <xf numFmtId="0" fontId="0" fillId="0" borderId="75" xfId="0" applyBorder="1" applyAlignment="1">
      <alignment horizontal="center" vertical="center"/>
    </xf>
    <xf numFmtId="0" fontId="3" fillId="0" borderId="91" xfId="0" applyFont="1" applyBorder="1" applyAlignment="1">
      <alignment horizontal="center"/>
    </xf>
    <xf numFmtId="0" fontId="3" fillId="0" borderId="76" xfId="0" applyFont="1" applyBorder="1" applyAlignment="1">
      <alignment horizontal="center"/>
    </xf>
    <xf numFmtId="0" fontId="6" fillId="0" borderId="91" xfId="0" applyFont="1" applyBorder="1" applyAlignment="1">
      <alignment horizontal="center"/>
    </xf>
    <xf numFmtId="0" fontId="6" fillId="0" borderId="76" xfId="0" applyFont="1" applyBorder="1" applyAlignment="1">
      <alignment horizontal="center"/>
    </xf>
    <xf numFmtId="0" fontId="0" fillId="0" borderId="11" xfId="0" applyBorder="1" applyAlignment="1">
      <alignment horizontal="center" vertical="center" wrapText="1" shrinkToFit="1"/>
    </xf>
    <xf numFmtId="0" fontId="6" fillId="0" borderId="1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6" fillId="0" borderId="86" xfId="0" applyFont="1" applyBorder="1" applyAlignment="1">
      <alignment horizontal="center"/>
    </xf>
    <xf numFmtId="0" fontId="6" fillId="0" borderId="87" xfId="0" applyFont="1" applyBorder="1" applyAlignment="1">
      <alignment horizontal="center"/>
    </xf>
    <xf numFmtId="0" fontId="0" fillId="0" borderId="89" xfId="0" applyBorder="1" applyAlignment="1">
      <alignment horizontal="center" wrapText="1"/>
    </xf>
    <xf numFmtId="0" fontId="0" fillId="0" borderId="90" xfId="0" applyBorder="1" applyAlignment="1">
      <alignment horizontal="center" wrapText="1"/>
    </xf>
    <xf numFmtId="0" fontId="0" fillId="0" borderId="93" xfId="0" applyBorder="1" applyAlignment="1">
      <alignment horizontal="center"/>
    </xf>
    <xf numFmtId="0" fontId="0" fillId="0" borderId="94" xfId="0" applyBorder="1" applyAlignment="1">
      <alignment horizontal="center"/>
    </xf>
    <xf numFmtId="0" fontId="0" fillId="0" borderId="55" xfId="0" applyBorder="1" applyAlignment="1">
      <alignment horizontal="center"/>
    </xf>
    <xf numFmtId="0" fontId="0" fillId="0" borderId="65" xfId="0" applyBorder="1" applyAlignment="1">
      <alignment horizontal="center"/>
    </xf>
    <xf numFmtId="0" fontId="0" fillId="0" borderId="66" xfId="0" applyBorder="1" applyAlignment="1">
      <alignment horizontal="center"/>
    </xf>
    <xf numFmtId="0" fontId="0" fillId="0" borderId="0" xfId="0" applyAlignment="1">
      <alignment horizontal="right"/>
    </xf>
    <xf numFmtId="0" fontId="0" fillId="0" borderId="83" xfId="0" applyBorder="1" applyAlignment="1">
      <alignment horizontal="center" wrapText="1"/>
    </xf>
    <xf numFmtId="0" fontId="0" fillId="0" borderId="78" xfId="0" applyBorder="1" applyAlignment="1">
      <alignment horizontal="center" wrapText="1"/>
    </xf>
    <xf numFmtId="0" fontId="29" fillId="0" borderId="103" xfId="0" applyFont="1" applyBorder="1" applyAlignment="1">
      <alignment horizontal="center" vertical="center"/>
    </xf>
    <xf numFmtId="0" fontId="0" fillId="0" borderId="97" xfId="0" applyBorder="1" applyAlignment="1">
      <alignment horizontal="center"/>
    </xf>
    <xf numFmtId="0" fontId="0" fillId="0" borderId="98" xfId="0" applyBorder="1" applyAlignment="1">
      <alignment horizontal="center"/>
    </xf>
    <xf numFmtId="0" fontId="6" fillId="0" borderId="8" xfId="0" applyFont="1" applyBorder="1" applyAlignment="1">
      <alignment horizontal="center"/>
    </xf>
    <xf numFmtId="0" fontId="6" fillId="0" borderId="43" xfId="0" applyFont="1" applyBorder="1" applyAlignment="1">
      <alignment horizontal="center"/>
    </xf>
    <xf numFmtId="0" fontId="10" fillId="0" borderId="50" xfId="0" applyFont="1" applyBorder="1" applyAlignment="1">
      <alignment horizontal="center"/>
    </xf>
    <xf numFmtId="0" fontId="10" fillId="0" borderId="54" xfId="0" applyFont="1" applyBorder="1" applyAlignment="1">
      <alignment horizontal="center"/>
    </xf>
    <xf numFmtId="0" fontId="6" fillId="3" borderId="121" xfId="0" applyFont="1" applyFill="1" applyBorder="1" applyAlignment="1" applyProtection="1">
      <alignment horizontal="center" shrinkToFit="1"/>
      <protection locked="0"/>
    </xf>
    <xf numFmtId="0" fontId="6" fillId="3" borderId="122" xfId="0" applyFont="1" applyFill="1" applyBorder="1" applyAlignment="1" applyProtection="1">
      <alignment horizontal="center" shrinkToFit="1"/>
      <protection locked="0"/>
    </xf>
    <xf numFmtId="0" fontId="10" fillId="0" borderId="63" xfId="0" applyFont="1" applyBorder="1" applyAlignment="1">
      <alignment horizontal="center" vertical="top" wrapText="1"/>
    </xf>
    <xf numFmtId="0" fontId="10" fillId="0" borderId="69" xfId="0" applyFont="1" applyBorder="1" applyAlignment="1">
      <alignment horizontal="center" vertical="top" wrapText="1"/>
    </xf>
    <xf numFmtId="0" fontId="6" fillId="3" borderId="105" xfId="0" applyFont="1" applyFill="1" applyBorder="1" applyAlignment="1" applyProtection="1">
      <alignment horizontal="center" vertical="top" wrapText="1"/>
      <protection locked="0"/>
    </xf>
    <xf numFmtId="0" fontId="6" fillId="3" borderId="84" xfId="0" applyFont="1" applyFill="1" applyBorder="1" applyAlignment="1" applyProtection="1">
      <alignment horizontal="center" vertical="top" wrapText="1"/>
      <protection locked="0"/>
    </xf>
    <xf numFmtId="0" fontId="6" fillId="3" borderId="84" xfId="0" applyFont="1" applyFill="1" applyBorder="1" applyAlignment="1" applyProtection="1">
      <alignment horizontal="center" shrinkToFit="1"/>
      <protection locked="0"/>
    </xf>
    <xf numFmtId="0" fontId="6" fillId="3" borderId="80" xfId="0" applyFont="1" applyFill="1" applyBorder="1" applyAlignment="1" applyProtection="1">
      <alignment horizontal="center" shrinkToFit="1"/>
      <protection locked="0"/>
    </xf>
    <xf numFmtId="0" fontId="6" fillId="3" borderId="120" xfId="0" applyFont="1" applyFill="1" applyBorder="1" applyAlignment="1" applyProtection="1">
      <alignment horizontal="center" vertical="top" wrapText="1"/>
      <protection locked="0"/>
    </xf>
    <xf numFmtId="0" fontId="6" fillId="3" borderId="121" xfId="0" applyFont="1" applyFill="1" applyBorder="1" applyAlignment="1" applyProtection="1">
      <alignment horizontal="center" vertical="top" wrapText="1"/>
      <protection locked="0"/>
    </xf>
    <xf numFmtId="0" fontId="0" fillId="0" borderId="85" xfId="0" applyBorder="1" applyAlignment="1">
      <alignment horizontal="center"/>
    </xf>
    <xf numFmtId="0" fontId="0" fillId="0" borderId="82" xfId="0" applyBorder="1" applyAlignment="1">
      <alignment horizontal="center"/>
    </xf>
    <xf numFmtId="0" fontId="10" fillId="0" borderId="9" xfId="0" applyFont="1" applyBorder="1" applyAlignment="1">
      <alignment horizontal="center" vertical="center" wrapText="1"/>
    </xf>
    <xf numFmtId="0" fontId="7" fillId="0" borderId="0" xfId="0" applyFont="1" applyAlignment="1">
      <alignment horizontal="center"/>
    </xf>
    <xf numFmtId="0" fontId="7" fillId="4" borderId="1" xfId="0" applyFont="1" applyFill="1" applyBorder="1" applyAlignment="1">
      <alignment horizontal="center" vertical="top" wrapText="1"/>
    </xf>
    <xf numFmtId="0" fontId="7" fillId="4" borderId="7" xfId="0" applyFont="1" applyFill="1" applyBorder="1" applyAlignment="1">
      <alignment horizontal="center" vertical="top" wrapText="1"/>
    </xf>
    <xf numFmtId="178" fontId="21" fillId="3" borderId="32" xfId="0" applyNumberFormat="1" applyFont="1" applyFill="1" applyBorder="1" applyAlignment="1" applyProtection="1">
      <alignment horizontal="center" vertical="center"/>
      <protection locked="0"/>
    </xf>
    <xf numFmtId="178" fontId="21" fillId="3" borderId="59" xfId="0" applyNumberFormat="1" applyFont="1" applyFill="1" applyBorder="1" applyAlignment="1" applyProtection="1">
      <alignment horizontal="center" vertical="center"/>
      <protection locked="0"/>
    </xf>
    <xf numFmtId="0" fontId="6" fillId="0" borderId="0" xfId="0" applyFont="1" applyAlignment="1">
      <alignment horizontal="left" vertical="top" wrapText="1"/>
    </xf>
    <xf numFmtId="0" fontId="6" fillId="2" borderId="61" xfId="0" applyFont="1" applyFill="1" applyBorder="1" applyAlignment="1">
      <alignment horizontal="center" vertical="center"/>
    </xf>
    <xf numFmtId="0" fontId="6" fillId="2" borderId="35" xfId="0" applyFont="1" applyFill="1" applyBorder="1" applyAlignment="1">
      <alignment horizontal="center" vertical="center"/>
    </xf>
    <xf numFmtId="0" fontId="6" fillId="0" borderId="0" xfId="0" applyFont="1" applyAlignment="1">
      <alignment horizontal="center" vertical="center"/>
    </xf>
    <xf numFmtId="0" fontId="6" fillId="3" borderId="38" xfId="0" applyFont="1" applyFill="1" applyBorder="1" applyAlignment="1" applyProtection="1">
      <alignment horizontal="center"/>
      <protection locked="0"/>
    </xf>
    <xf numFmtId="0" fontId="6" fillId="3" borderId="70" xfId="0" applyFont="1" applyFill="1" applyBorder="1" applyAlignment="1" applyProtection="1">
      <alignment horizontal="center"/>
      <protection locked="0"/>
    </xf>
    <xf numFmtId="0" fontId="3" fillId="0" borderId="1" xfId="0" applyFont="1" applyBorder="1" applyAlignment="1">
      <alignment horizontal="center"/>
    </xf>
    <xf numFmtId="0" fontId="52" fillId="0" borderId="64" xfId="0" applyFont="1" applyBorder="1" applyAlignment="1">
      <alignment horizontal="center" shrinkToFit="1"/>
    </xf>
    <xf numFmtId="0" fontId="52" fillId="0" borderId="66" xfId="0" applyFont="1" applyBorder="1" applyAlignment="1">
      <alignment horizontal="center" shrinkToFit="1"/>
    </xf>
    <xf numFmtId="0" fontId="43" fillId="0" borderId="24" xfId="0" applyFont="1" applyBorder="1" applyAlignment="1">
      <alignment horizontal="center" vertical="center" wrapText="1"/>
    </xf>
    <xf numFmtId="0" fontId="43" fillId="0" borderId="116" xfId="0" applyFont="1" applyBorder="1" applyAlignment="1">
      <alignment horizontal="center" vertical="center" wrapText="1"/>
    </xf>
    <xf numFmtId="0" fontId="6" fillId="0" borderId="4" xfId="0" applyFont="1" applyBorder="1" applyAlignment="1">
      <alignment horizontal="center"/>
    </xf>
    <xf numFmtId="0" fontId="6" fillId="0" borderId="45" xfId="0" applyFont="1" applyBorder="1" applyAlignment="1">
      <alignment horizontal="center"/>
    </xf>
    <xf numFmtId="0" fontId="10" fillId="0" borderId="61" xfId="0" applyFont="1" applyBorder="1" applyAlignment="1">
      <alignment horizontal="center" vertical="center" wrapText="1"/>
    </xf>
    <xf numFmtId="0" fontId="10" fillId="0" borderId="47" xfId="0" applyFont="1" applyBorder="1" applyAlignment="1">
      <alignment horizontal="center" vertical="center" wrapText="1"/>
    </xf>
    <xf numFmtId="0" fontId="16" fillId="3" borderId="10" xfId="0" applyFont="1" applyFill="1" applyBorder="1" applyAlignment="1" applyProtection="1">
      <alignment horizontal="left" vertical="center" shrinkToFit="1"/>
      <protection locked="0"/>
    </xf>
    <xf numFmtId="0" fontId="7" fillId="4" borderId="57" xfId="0" applyFont="1" applyFill="1" applyBorder="1" applyAlignment="1">
      <alignment horizontal="center" vertical="top" wrapText="1"/>
    </xf>
    <xf numFmtId="0" fontId="7" fillId="4" borderId="123" xfId="0" applyFont="1" applyFill="1" applyBorder="1" applyAlignment="1">
      <alignment horizontal="center" vertical="top" wrapText="1"/>
    </xf>
    <xf numFmtId="178" fontId="24" fillId="4" borderId="5" xfId="0" applyNumberFormat="1" applyFont="1" applyFill="1" applyBorder="1" applyAlignment="1">
      <alignment horizontal="center" vertical="center" wrapText="1"/>
    </xf>
    <xf numFmtId="0" fontId="10" fillId="2" borderId="44" xfId="0" applyFont="1" applyFill="1" applyBorder="1" applyAlignment="1">
      <alignment horizontal="center" vertical="center"/>
    </xf>
    <xf numFmtId="0" fontId="10" fillId="2" borderId="63" xfId="0" applyFont="1" applyFill="1" applyBorder="1" applyAlignment="1">
      <alignment horizontal="center" vertical="center"/>
    </xf>
    <xf numFmtId="0" fontId="10" fillId="2" borderId="69" xfId="0" applyFont="1" applyFill="1" applyBorder="1" applyAlignment="1">
      <alignment horizontal="center" vertical="center"/>
    </xf>
    <xf numFmtId="0" fontId="21" fillId="3" borderId="10" xfId="0" applyFont="1" applyFill="1" applyBorder="1" applyAlignment="1" applyProtection="1">
      <alignment horizontal="left" vertical="center" wrapText="1"/>
      <protection locked="0"/>
    </xf>
    <xf numFmtId="178" fontId="21" fillId="4" borderId="4" xfId="0" applyNumberFormat="1" applyFont="1" applyFill="1" applyBorder="1" applyAlignment="1">
      <alignment horizontal="center" vertical="center"/>
    </xf>
    <xf numFmtId="178" fontId="21" fillId="4" borderId="10" xfId="0" applyNumberFormat="1" applyFont="1" applyFill="1" applyBorder="1" applyAlignment="1">
      <alignment horizontal="center" vertical="center"/>
    </xf>
    <xf numFmtId="177" fontId="0" fillId="3" borderId="16" xfId="0" applyNumberFormat="1" applyFill="1" applyBorder="1" applyAlignment="1" applyProtection="1">
      <alignment horizontal="center" vertical="center"/>
      <protection locked="0"/>
    </xf>
    <xf numFmtId="177" fontId="0" fillId="3" borderId="68" xfId="0" applyNumberFormat="1" applyFill="1" applyBorder="1" applyAlignment="1" applyProtection="1">
      <alignment horizontal="center" vertical="center"/>
      <protection locked="0"/>
    </xf>
    <xf numFmtId="0" fontId="6" fillId="0" borderId="51" xfId="0" applyFont="1" applyBorder="1" applyAlignment="1">
      <alignment horizontal="left"/>
    </xf>
    <xf numFmtId="0" fontId="6" fillId="0" borderId="3" xfId="0" applyFont="1" applyBorder="1" applyAlignment="1">
      <alignment horizontal="left"/>
    </xf>
    <xf numFmtId="0" fontId="6" fillId="0" borderId="54" xfId="0" applyFont="1" applyBorder="1" applyAlignment="1">
      <alignment horizontal="left"/>
    </xf>
    <xf numFmtId="0" fontId="0" fillId="0" borderId="16"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16" fillId="3" borderId="50" xfId="0" applyFont="1" applyFill="1" applyBorder="1" applyAlignment="1" applyProtection="1">
      <alignment horizontal="left" vertical="center"/>
      <protection locked="0"/>
    </xf>
    <xf numFmtId="0" fontId="16" fillId="3" borderId="3" xfId="0" applyFont="1" applyFill="1" applyBorder="1" applyAlignment="1" applyProtection="1">
      <alignment horizontal="left" vertical="center"/>
      <protection locked="0"/>
    </xf>
    <xf numFmtId="178" fontId="16" fillId="4" borderId="50" xfId="0" applyNumberFormat="1" applyFont="1" applyFill="1" applyBorder="1" applyAlignment="1">
      <alignment horizontal="center" vertical="center"/>
    </xf>
    <xf numFmtId="178" fontId="16" fillId="4" borderId="3" xfId="0" applyNumberFormat="1" applyFont="1" applyFill="1" applyBorder="1" applyAlignment="1">
      <alignment horizontal="center" vertical="center"/>
    </xf>
    <xf numFmtId="0" fontId="16" fillId="3" borderId="3" xfId="0" applyFont="1" applyFill="1" applyBorder="1" applyAlignment="1" applyProtection="1">
      <alignment horizontal="left" vertical="center" shrinkToFit="1"/>
      <protection locked="0"/>
    </xf>
    <xf numFmtId="0" fontId="16" fillId="3" borderId="25" xfId="0" applyFont="1" applyFill="1" applyBorder="1" applyAlignment="1" applyProtection="1">
      <alignment horizontal="left" vertical="center"/>
      <protection locked="0"/>
    </xf>
    <xf numFmtId="0" fontId="16" fillId="3" borderId="33" xfId="0" applyFont="1" applyFill="1" applyBorder="1" applyAlignment="1" applyProtection="1">
      <alignment horizontal="left" vertical="center"/>
      <protection locked="0"/>
    </xf>
    <xf numFmtId="0" fontId="6" fillId="2" borderId="52" xfId="0" applyFont="1" applyFill="1" applyBorder="1" applyAlignment="1">
      <alignment horizontal="center" vertical="center"/>
    </xf>
    <xf numFmtId="181" fontId="7" fillId="4" borderId="3" xfId="0" applyNumberFormat="1" applyFont="1" applyFill="1" applyBorder="1" applyAlignment="1">
      <alignment horizontal="center" vertical="top" wrapText="1"/>
    </xf>
    <xf numFmtId="181" fontId="7" fillId="4" borderId="53" xfId="0" applyNumberFormat="1" applyFont="1" applyFill="1" applyBorder="1" applyAlignment="1">
      <alignment horizontal="center" vertical="top" wrapText="1"/>
    </xf>
    <xf numFmtId="0" fontId="7" fillId="4" borderId="11" xfId="0" applyFont="1" applyFill="1" applyBorder="1" applyAlignment="1">
      <alignment horizontal="center"/>
    </xf>
    <xf numFmtId="0" fontId="7" fillId="4" borderId="9" xfId="0" applyFont="1" applyFill="1" applyBorder="1" applyAlignment="1">
      <alignment horizontal="center"/>
    </xf>
    <xf numFmtId="0" fontId="16" fillId="3" borderId="50" xfId="0" applyFont="1" applyFill="1" applyBorder="1" applyAlignment="1" applyProtection="1">
      <alignment horizontal="left" vertical="center" wrapText="1"/>
      <protection locked="0"/>
    </xf>
    <xf numFmtId="0" fontId="16" fillId="3" borderId="3" xfId="0" applyFont="1" applyFill="1" applyBorder="1" applyAlignment="1" applyProtection="1">
      <alignment horizontal="left" vertical="center" wrapText="1"/>
      <protection locked="0"/>
    </xf>
    <xf numFmtId="0" fontId="16" fillId="3" borderId="46" xfId="0" applyFont="1" applyFill="1" applyBorder="1" applyAlignment="1" applyProtection="1">
      <alignment horizontal="left" vertical="center" wrapText="1"/>
      <protection locked="0"/>
    </xf>
    <xf numFmtId="178" fontId="24" fillId="4" borderId="7" xfId="0" applyNumberFormat="1" applyFont="1" applyFill="1" applyBorder="1" applyAlignment="1">
      <alignment horizontal="center" vertical="center" wrapText="1"/>
    </xf>
    <xf numFmtId="178" fontId="21" fillId="3" borderId="21" xfId="0" applyNumberFormat="1" applyFont="1" applyFill="1" applyBorder="1" applyAlignment="1" applyProtection="1">
      <alignment horizontal="center" vertical="center"/>
      <protection locked="0"/>
    </xf>
    <xf numFmtId="178" fontId="21" fillId="3" borderId="124" xfId="0" applyNumberFormat="1" applyFont="1" applyFill="1" applyBorder="1" applyAlignment="1" applyProtection="1">
      <alignment horizontal="center" vertical="center"/>
      <protection locked="0"/>
    </xf>
    <xf numFmtId="178" fontId="24" fillId="4" borderId="54" xfId="0" applyNumberFormat="1" applyFont="1" applyFill="1" applyBorder="1" applyAlignment="1">
      <alignment horizontal="center" vertical="center" wrapText="1"/>
    </xf>
    <xf numFmtId="0" fontId="16" fillId="3" borderId="4" xfId="0" applyFont="1" applyFill="1" applyBorder="1" applyAlignment="1" applyProtection="1">
      <alignment horizontal="left" vertical="center"/>
      <protection locked="0"/>
    </xf>
    <xf numFmtId="0" fontId="16" fillId="3" borderId="10" xfId="0" applyFont="1" applyFill="1" applyBorder="1" applyAlignment="1" applyProtection="1">
      <alignment horizontal="left" vertical="center"/>
      <protection locked="0"/>
    </xf>
    <xf numFmtId="0" fontId="16" fillId="3" borderId="45" xfId="0" applyFont="1" applyFill="1" applyBorder="1" applyAlignment="1" applyProtection="1">
      <alignment horizontal="left" vertical="center"/>
      <protection locked="0"/>
    </xf>
    <xf numFmtId="0" fontId="16" fillId="3" borderId="73" xfId="0" applyFont="1" applyFill="1" applyBorder="1" applyAlignment="1" applyProtection="1">
      <alignment horizontal="left" vertical="center"/>
      <protection locked="0"/>
    </xf>
    <xf numFmtId="0" fontId="16" fillId="3" borderId="60" xfId="0" applyFont="1" applyFill="1" applyBorder="1" applyAlignment="1" applyProtection="1">
      <alignment horizontal="left" vertical="center"/>
      <protection locked="0"/>
    </xf>
    <xf numFmtId="178" fontId="24" fillId="4" borderId="11" xfId="0" applyNumberFormat="1" applyFont="1" applyFill="1" applyBorder="1" applyAlignment="1">
      <alignment horizontal="center" vertical="center" wrapText="1"/>
    </xf>
    <xf numFmtId="178" fontId="24" fillId="4" borderId="9" xfId="0" applyNumberFormat="1" applyFont="1" applyFill="1" applyBorder="1" applyAlignment="1">
      <alignment horizontal="center" vertical="center" wrapText="1"/>
    </xf>
    <xf numFmtId="0" fontId="7" fillId="4" borderId="10" xfId="0" applyFont="1" applyFill="1" applyBorder="1" applyAlignment="1">
      <alignment horizontal="center" vertical="top" wrapText="1"/>
    </xf>
    <xf numFmtId="0" fontId="7" fillId="4" borderId="5" xfId="0" applyFont="1" applyFill="1" applyBorder="1" applyAlignment="1">
      <alignment horizontal="center" vertical="top" wrapText="1"/>
    </xf>
    <xf numFmtId="178" fontId="24" fillId="4" borderId="117" xfId="0" applyNumberFormat="1" applyFont="1" applyFill="1" applyBorder="1" applyAlignment="1">
      <alignment horizontal="center" vertical="center" wrapText="1"/>
    </xf>
    <xf numFmtId="178" fontId="24" fillId="4" borderId="57" xfId="0" applyNumberFormat="1" applyFont="1" applyFill="1" applyBorder="1" applyAlignment="1">
      <alignment horizontal="center" vertical="center" wrapText="1"/>
    </xf>
    <xf numFmtId="178" fontId="24" fillId="4" borderId="123"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wrapText="1"/>
    </xf>
    <xf numFmtId="0" fontId="0" fillId="2" borderId="30" xfId="0" applyFill="1" applyBorder="1" applyAlignment="1">
      <alignment horizontal="center"/>
    </xf>
    <xf numFmtId="0" fontId="6" fillId="2" borderId="6" xfId="0" applyFont="1" applyFill="1" applyBorder="1" applyAlignment="1">
      <alignment horizontal="left" wrapText="1"/>
    </xf>
    <xf numFmtId="0" fontId="0" fillId="2" borderId="1" xfId="0" applyFill="1" applyBorder="1" applyAlignment="1">
      <alignment horizontal="left" wrapText="1"/>
    </xf>
    <xf numFmtId="0" fontId="0" fillId="2" borderId="12" xfId="0" applyFill="1" applyBorder="1" applyAlignment="1">
      <alignment horizontal="left" wrapText="1"/>
    </xf>
    <xf numFmtId="0" fontId="0" fillId="2" borderId="6" xfId="0" applyFill="1" applyBorder="1" applyAlignment="1">
      <alignment horizontal="left" vertical="center" wrapText="1"/>
    </xf>
    <xf numFmtId="0" fontId="0" fillId="2" borderId="1" xfId="0" applyFill="1" applyBorder="1" applyAlignment="1">
      <alignment horizontal="left" vertical="center" wrapText="1"/>
    </xf>
    <xf numFmtId="0" fontId="0" fillId="2" borderId="7" xfId="0" applyFill="1" applyBorder="1" applyAlignment="1">
      <alignment horizontal="left" vertical="center" wrapText="1"/>
    </xf>
    <xf numFmtId="0" fontId="0" fillId="2" borderId="64" xfId="0" applyFill="1" applyBorder="1" applyAlignment="1">
      <alignment horizontal="left" vertical="center" wrapText="1"/>
    </xf>
    <xf numFmtId="0" fontId="0" fillId="2" borderId="65" xfId="0" applyFill="1" applyBorder="1" applyAlignment="1">
      <alignment horizontal="left" vertical="center" wrapText="1"/>
    </xf>
    <xf numFmtId="0" fontId="0" fillId="2" borderId="66" xfId="0" applyFill="1" applyBorder="1" applyAlignment="1">
      <alignment horizontal="left" vertical="center" wrapText="1"/>
    </xf>
    <xf numFmtId="0" fontId="0" fillId="2" borderId="64" xfId="0" applyFill="1" applyBorder="1" applyAlignment="1">
      <alignment horizontal="center" vertical="center" wrapText="1"/>
    </xf>
    <xf numFmtId="0" fontId="0" fillId="2" borderId="65" xfId="0" applyFill="1" applyBorder="1" applyAlignment="1">
      <alignment horizontal="center" vertical="center" wrapText="1"/>
    </xf>
    <xf numFmtId="0" fontId="0" fillId="2" borderId="66" xfId="0" applyFill="1" applyBorder="1" applyAlignment="1">
      <alignment horizontal="center" vertical="center" wrapText="1"/>
    </xf>
    <xf numFmtId="0" fontId="0" fillId="2" borderId="0" xfId="0" applyFill="1" applyAlignment="1">
      <alignment horizontal="left"/>
    </xf>
    <xf numFmtId="0" fontId="0" fillId="2" borderId="0" xfId="0" applyFill="1" applyAlignment="1">
      <alignment horizontal="left" vertical="top" wrapText="1"/>
    </xf>
    <xf numFmtId="0" fontId="27" fillId="2" borderId="0" xfId="0" applyFont="1" applyFill="1" applyAlignment="1">
      <alignment horizontal="left" vertical="top" wrapText="1"/>
    </xf>
    <xf numFmtId="0" fontId="0" fillId="2" borderId="6" xfId="0" applyFill="1" applyBorder="1" applyAlignment="1">
      <alignment horizontal="left" vertical="center"/>
    </xf>
    <xf numFmtId="0" fontId="0" fillId="2" borderId="1" xfId="0" applyFill="1" applyBorder="1" applyAlignment="1">
      <alignment horizontal="left" vertical="center"/>
    </xf>
    <xf numFmtId="0" fontId="0" fillId="2" borderId="7" xfId="0" applyFill="1" applyBorder="1" applyAlignment="1">
      <alignment horizontal="left" vertical="center"/>
    </xf>
    <xf numFmtId="0" fontId="48" fillId="2" borderId="1" xfId="0" applyFont="1" applyFill="1" applyBorder="1" applyAlignment="1">
      <alignment horizontal="left" vertical="center" wrapText="1"/>
    </xf>
    <xf numFmtId="0" fontId="47" fillId="2" borderId="1" xfId="0" applyFont="1" applyFill="1" applyBorder="1" applyAlignment="1">
      <alignment horizontal="left" vertical="center" wrapText="1"/>
    </xf>
    <xf numFmtId="0" fontId="49" fillId="2" borderId="1" xfId="0" applyFont="1" applyFill="1" applyBorder="1" applyAlignment="1">
      <alignment horizontal="center" vertical="center" wrapText="1"/>
    </xf>
    <xf numFmtId="0" fontId="6" fillId="2" borderId="22" xfId="0" applyFont="1" applyFill="1" applyBorder="1" applyAlignment="1">
      <alignment horizontal="left" vertical="center"/>
    </xf>
    <xf numFmtId="0" fontId="6" fillId="2" borderId="39" xfId="0" applyFont="1" applyFill="1" applyBorder="1" applyAlignment="1">
      <alignment horizontal="left" vertical="center"/>
    </xf>
    <xf numFmtId="0" fontId="6" fillId="2" borderId="109" xfId="0" applyFont="1" applyFill="1" applyBorder="1" applyAlignment="1">
      <alignment horizontal="left" vertical="center"/>
    </xf>
    <xf numFmtId="0" fontId="48" fillId="2" borderId="1" xfId="0" applyFont="1" applyFill="1" applyBorder="1" applyAlignment="1">
      <alignment horizontal="center" vertical="center" wrapText="1"/>
    </xf>
    <xf numFmtId="0" fontId="31" fillId="2" borderId="20" xfId="0" applyFont="1" applyFill="1" applyBorder="1" applyAlignment="1">
      <alignment horizontal="center" vertical="center"/>
    </xf>
    <xf numFmtId="0" fontId="31" fillId="2" borderId="25" xfId="0" applyFont="1" applyFill="1" applyBorder="1" applyAlignment="1">
      <alignment horizontal="center" vertical="center"/>
    </xf>
    <xf numFmtId="0" fontId="6" fillId="2" borderId="50" xfId="0" applyFont="1" applyFill="1" applyBorder="1" applyAlignment="1">
      <alignment horizontal="left" vertical="top"/>
    </xf>
    <xf numFmtId="0" fontId="0" fillId="2" borderId="3" xfId="0" applyFill="1" applyBorder="1" applyAlignment="1">
      <alignment horizontal="left" vertical="top"/>
    </xf>
    <xf numFmtId="0" fontId="0" fillId="2" borderId="46" xfId="0" applyFill="1" applyBorder="1" applyAlignment="1">
      <alignment horizontal="left" vertical="top"/>
    </xf>
    <xf numFmtId="0" fontId="6" fillId="2" borderId="6" xfId="0" applyFont="1" applyFill="1" applyBorder="1" applyAlignment="1">
      <alignment horizontal="left" vertical="top"/>
    </xf>
    <xf numFmtId="0" fontId="0" fillId="2" borderId="1" xfId="0" applyFill="1" applyBorder="1" applyAlignment="1">
      <alignment horizontal="left" vertical="top"/>
    </xf>
    <xf numFmtId="0" fontId="0" fillId="2" borderId="12" xfId="0" applyFill="1" applyBorder="1" applyAlignment="1">
      <alignment horizontal="left" vertical="top"/>
    </xf>
    <xf numFmtId="0" fontId="6" fillId="2" borderId="116" xfId="0" applyFont="1" applyFill="1" applyBorder="1" applyAlignment="1">
      <alignment horizontal="left" vertical="top"/>
    </xf>
    <xf numFmtId="0" fontId="0" fillId="2" borderId="53" xfId="0" applyFill="1" applyBorder="1" applyAlignment="1">
      <alignment horizontal="left" vertical="top"/>
    </xf>
    <xf numFmtId="0" fontId="0" fillId="2" borderId="47" xfId="0" applyFill="1" applyBorder="1" applyAlignment="1">
      <alignment horizontal="left" vertical="top"/>
    </xf>
    <xf numFmtId="0" fontId="27" fillId="2" borderId="0" xfId="0" applyFont="1" applyFill="1" applyAlignment="1">
      <alignment horizontal="center" vertical="top" wrapText="1"/>
    </xf>
    <xf numFmtId="0" fontId="0" fillId="2" borderId="50" xfId="0" applyFill="1" applyBorder="1" applyAlignment="1">
      <alignment horizontal="left" vertical="center"/>
    </xf>
    <xf numFmtId="0" fontId="0" fillId="2" borderId="3" xfId="0" applyFill="1" applyBorder="1" applyAlignment="1">
      <alignment horizontal="left" vertical="center"/>
    </xf>
    <xf numFmtId="0" fontId="0" fillId="2" borderId="54" xfId="0" applyFill="1" applyBorder="1" applyAlignment="1">
      <alignment horizontal="left" vertical="center"/>
    </xf>
    <xf numFmtId="0" fontId="31" fillId="2" borderId="16" xfId="0" applyFont="1" applyFill="1" applyBorder="1" applyAlignment="1">
      <alignment horizontal="center" vertical="center"/>
    </xf>
    <xf numFmtId="0" fontId="31" fillId="2" borderId="67" xfId="0" applyFont="1" applyFill="1" applyBorder="1" applyAlignment="1">
      <alignment horizontal="center" vertical="center"/>
    </xf>
    <xf numFmtId="0" fontId="48" fillId="2" borderId="1" xfId="0" applyFont="1" applyFill="1" applyBorder="1" applyAlignment="1">
      <alignment vertical="center" wrapText="1"/>
    </xf>
    <xf numFmtId="0" fontId="0" fillId="2" borderId="0" xfId="0" applyFill="1" applyAlignment="1">
      <alignment horizontal="left" vertical="center" shrinkToFit="1"/>
    </xf>
    <xf numFmtId="0" fontId="0" fillId="2" borderId="8" xfId="0" applyFill="1" applyBorder="1" applyAlignment="1">
      <alignment horizontal="left" vertical="center"/>
    </xf>
    <xf numFmtId="0" fontId="0" fillId="2" borderId="11" xfId="0" applyFill="1" applyBorder="1" applyAlignment="1">
      <alignment horizontal="left" vertical="center"/>
    </xf>
    <xf numFmtId="0" fontId="0" fillId="2" borderId="9" xfId="0" applyFill="1" applyBorder="1" applyAlignment="1">
      <alignment horizontal="left" vertical="center"/>
    </xf>
    <xf numFmtId="0" fontId="0" fillId="2" borderId="65" xfId="0" applyFill="1" applyBorder="1" applyAlignment="1">
      <alignment horizontal="left" vertical="top" wrapText="1"/>
    </xf>
    <xf numFmtId="0" fontId="0" fillId="2" borderId="66" xfId="0" applyFill="1" applyBorder="1" applyAlignment="1">
      <alignment horizontal="left" vertical="top" wrapText="1"/>
    </xf>
    <xf numFmtId="0" fontId="0" fillId="2" borderId="112" xfId="0" applyFill="1" applyBorder="1" applyAlignment="1">
      <alignment horizontal="left" vertical="center"/>
    </xf>
    <xf numFmtId="0" fontId="0" fillId="2" borderId="113" xfId="0" applyFill="1" applyBorder="1" applyAlignment="1">
      <alignment horizontal="left" vertical="center"/>
    </xf>
    <xf numFmtId="0" fontId="0" fillId="2" borderId="29" xfId="0" applyFill="1" applyBorder="1" applyAlignment="1">
      <alignment horizontal="center" vertical="center"/>
    </xf>
    <xf numFmtId="0" fontId="0" fillId="2" borderId="74" xfId="0" applyFill="1" applyBorder="1" applyAlignment="1">
      <alignment horizontal="center" vertical="center"/>
    </xf>
    <xf numFmtId="0" fontId="0" fillId="2" borderId="34" xfId="0" applyFill="1" applyBorder="1" applyAlignment="1">
      <alignment horizontal="center"/>
    </xf>
    <xf numFmtId="0" fontId="0" fillId="2" borderId="38" xfId="0" applyFill="1" applyBorder="1" applyAlignment="1">
      <alignment horizontal="center"/>
    </xf>
    <xf numFmtId="0" fontId="0" fillId="2" borderId="110" xfId="0" applyFill="1" applyBorder="1" applyAlignment="1">
      <alignment horizontal="center"/>
    </xf>
    <xf numFmtId="0" fontId="0" fillId="2" borderId="111" xfId="0" applyFill="1" applyBorder="1" applyAlignment="1">
      <alignment horizontal="center"/>
    </xf>
    <xf numFmtId="0" fontId="0" fillId="2" borderId="0" xfId="0" applyFill="1" applyAlignment="1">
      <alignment horizontal="center"/>
    </xf>
    <xf numFmtId="0" fontId="62" fillId="2" borderId="0" xfId="0" applyFont="1" applyFill="1" applyAlignment="1">
      <alignment horizontal="center" shrinkToFit="1"/>
    </xf>
    <xf numFmtId="0" fontId="6" fillId="2" borderId="0" xfId="0" applyFont="1" applyFill="1" applyAlignment="1">
      <alignment horizontal="left" vertical="top" wrapText="1"/>
    </xf>
    <xf numFmtId="0" fontId="16" fillId="2" borderId="0" xfId="0" applyFont="1" applyFill="1" applyAlignment="1">
      <alignment horizontal="left" vertical="top" wrapText="1"/>
    </xf>
    <xf numFmtId="0" fontId="0" fillId="2" borderId="8" xfId="0" applyFill="1" applyBorder="1" applyAlignment="1">
      <alignment horizontal="left"/>
    </xf>
    <xf numFmtId="0" fontId="0" fillId="2" borderId="11" xfId="0" applyFill="1" applyBorder="1" applyAlignment="1">
      <alignment horizontal="left"/>
    </xf>
    <xf numFmtId="0" fontId="0" fillId="2" borderId="9" xfId="0" applyFill="1" applyBorder="1" applyAlignment="1">
      <alignment horizontal="left"/>
    </xf>
    <xf numFmtId="0" fontId="6" fillId="2" borderId="6"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7" xfId="0" applyFont="1" applyFill="1" applyBorder="1" applyAlignment="1">
      <alignment horizontal="left" vertical="center" wrapText="1"/>
    </xf>
    <xf numFmtId="0" fontId="0" fillId="2" borderId="6" xfId="0" applyFill="1" applyBorder="1" applyAlignment="1">
      <alignment horizontal="left"/>
    </xf>
    <xf numFmtId="0" fontId="0" fillId="2" borderId="1" xfId="0" applyFill="1" applyBorder="1" applyAlignment="1">
      <alignment horizontal="left"/>
    </xf>
    <xf numFmtId="0" fontId="0" fillId="2" borderId="7" xfId="0" applyFill="1" applyBorder="1" applyAlignment="1">
      <alignment horizontal="left"/>
    </xf>
    <xf numFmtId="0" fontId="6" fillId="2" borderId="50" xfId="0" applyFont="1" applyFill="1" applyBorder="1" applyAlignment="1">
      <alignment horizontal="left"/>
    </xf>
    <xf numFmtId="0" fontId="6" fillId="2" borderId="3" xfId="0" applyFont="1" applyFill="1" applyBorder="1" applyAlignment="1">
      <alignment horizontal="left"/>
    </xf>
    <xf numFmtId="0" fontId="6" fillId="2" borderId="54" xfId="0" applyFont="1" applyFill="1" applyBorder="1" applyAlignment="1">
      <alignment horizontal="left"/>
    </xf>
    <xf numFmtId="0" fontId="0" fillId="2" borderId="8" xfId="0" applyFill="1" applyBorder="1" applyAlignment="1">
      <alignment horizontal="left" vertical="center" wrapText="1"/>
    </xf>
    <xf numFmtId="0" fontId="0" fillId="2" borderId="11" xfId="0" applyFill="1" applyBorder="1" applyAlignment="1">
      <alignment horizontal="left" vertical="center" wrapText="1"/>
    </xf>
    <xf numFmtId="0" fontId="0" fillId="2" borderId="9" xfId="0" applyFill="1" applyBorder="1" applyAlignment="1">
      <alignment horizontal="left" vertical="center" wrapText="1"/>
    </xf>
    <xf numFmtId="0" fontId="0" fillId="2" borderId="8" xfId="0" applyFill="1" applyBorder="1" applyAlignment="1">
      <alignment horizontal="left" wrapText="1"/>
    </xf>
    <xf numFmtId="0" fontId="0" fillId="2" borderId="11" xfId="0" applyFill="1" applyBorder="1" applyAlignment="1">
      <alignment horizontal="left" wrapText="1"/>
    </xf>
    <xf numFmtId="0" fontId="0" fillId="2" borderId="9" xfId="0" applyFill="1" applyBorder="1" applyAlignment="1">
      <alignment horizontal="left" wrapText="1"/>
    </xf>
    <xf numFmtId="0" fontId="0" fillId="2" borderId="32" xfId="0" applyFill="1" applyBorder="1" applyAlignment="1">
      <alignment horizontal="center" vertical="center"/>
    </xf>
    <xf numFmtId="0" fontId="0" fillId="2" borderId="59"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31" fillId="2" borderId="32" xfId="0" applyFont="1" applyFill="1" applyBorder="1" applyAlignment="1">
      <alignment horizontal="center" vertical="center"/>
    </xf>
    <xf numFmtId="0" fontId="31" fillId="2" borderId="30" xfId="0" applyFont="1" applyFill="1" applyBorder="1" applyAlignment="1">
      <alignment horizontal="center" vertical="center"/>
    </xf>
    <xf numFmtId="0" fontId="0" fillId="2" borderId="67" xfId="0" applyFill="1" applyBorder="1" applyAlignment="1">
      <alignment horizontal="center"/>
    </xf>
    <xf numFmtId="0" fontId="0" fillId="0" borderId="0" xfId="0" applyAlignment="1">
      <alignment horizontal="left"/>
    </xf>
    <xf numFmtId="0" fontId="0" fillId="2" borderId="3" xfId="0" applyFill="1" applyBorder="1" applyAlignment="1">
      <alignment horizontal="left" vertical="center" wrapText="1"/>
    </xf>
    <xf numFmtId="0" fontId="0" fillId="2" borderId="54" xfId="0" applyFill="1" applyBorder="1" applyAlignment="1">
      <alignment horizontal="left" vertical="center" wrapText="1"/>
    </xf>
    <xf numFmtId="0" fontId="31" fillId="2" borderId="22" xfId="0" applyFont="1" applyFill="1" applyBorder="1" applyAlignment="1">
      <alignment horizontal="center" vertical="center"/>
    </xf>
    <xf numFmtId="0" fontId="31" fillId="2" borderId="39" xfId="0" applyFont="1" applyFill="1" applyBorder="1" applyAlignment="1">
      <alignment horizontal="center" vertical="center"/>
    </xf>
    <xf numFmtId="0" fontId="31" fillId="2" borderId="19" xfId="0" applyFont="1" applyFill="1" applyBorder="1" applyAlignment="1">
      <alignment horizontal="center" vertical="center"/>
    </xf>
    <xf numFmtId="0" fontId="31" fillId="2" borderId="73" xfId="0" applyFont="1" applyFill="1" applyBorder="1" applyAlignment="1">
      <alignment horizontal="center" vertical="center"/>
    </xf>
    <xf numFmtId="0" fontId="6" fillId="2" borderId="20" xfId="0" applyFont="1" applyFill="1" applyBorder="1" applyAlignment="1">
      <alignment horizontal="center" vertical="center"/>
    </xf>
    <xf numFmtId="0" fontId="0" fillId="2" borderId="25" xfId="0" applyFill="1" applyBorder="1" applyAlignment="1">
      <alignment horizontal="center" vertical="center"/>
    </xf>
    <xf numFmtId="0" fontId="31" fillId="2" borderId="50" xfId="0" applyFont="1" applyFill="1" applyBorder="1" applyAlignment="1">
      <alignment horizontal="center" vertical="center"/>
    </xf>
    <xf numFmtId="0" fontId="31" fillId="2" borderId="46"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12" xfId="0" applyFont="1" applyFill="1" applyBorder="1" applyAlignment="1">
      <alignment horizontal="center" vertical="center"/>
    </xf>
    <xf numFmtId="0" fontId="31" fillId="2" borderId="8" xfId="0" applyFont="1" applyFill="1" applyBorder="1" applyAlignment="1">
      <alignment horizontal="center" vertical="center"/>
    </xf>
    <xf numFmtId="0" fontId="31" fillId="2" borderId="43" xfId="0" applyFont="1" applyFill="1" applyBorder="1" applyAlignment="1">
      <alignment horizontal="center" vertical="center"/>
    </xf>
    <xf numFmtId="0" fontId="0" fillId="2" borderId="50" xfId="0" applyFill="1" applyBorder="1" applyAlignment="1">
      <alignment horizontal="left"/>
    </xf>
    <xf numFmtId="0" fontId="0" fillId="2" borderId="3" xfId="0" applyFill="1" applyBorder="1" applyAlignment="1">
      <alignment horizontal="left"/>
    </xf>
    <xf numFmtId="0" fontId="0" fillId="2" borderId="54" xfId="0" applyFill="1" applyBorder="1" applyAlignment="1">
      <alignment horizontal="left"/>
    </xf>
    <xf numFmtId="0" fontId="0" fillId="2" borderId="64" xfId="0" applyFill="1" applyBorder="1" applyAlignment="1">
      <alignment horizontal="center"/>
    </xf>
    <xf numFmtId="0" fontId="0" fillId="2" borderId="65" xfId="0" applyFill="1" applyBorder="1" applyAlignment="1">
      <alignment horizontal="center"/>
    </xf>
    <xf numFmtId="0" fontId="0" fillId="2" borderId="56" xfId="0" applyFill="1" applyBorder="1" applyAlignment="1">
      <alignment horizontal="center"/>
    </xf>
    <xf numFmtId="0" fontId="0" fillId="2" borderId="50" xfId="0" applyFill="1" applyBorder="1" applyAlignment="1">
      <alignment horizontal="left" vertical="center" wrapText="1"/>
    </xf>
    <xf numFmtId="0" fontId="0" fillId="2" borderId="12" xfId="0" applyFill="1" applyBorder="1" applyAlignment="1">
      <alignment horizontal="left" vertical="center" wrapText="1"/>
    </xf>
    <xf numFmtId="0" fontId="0" fillId="2" borderId="12" xfId="0" applyFill="1" applyBorder="1" applyAlignment="1">
      <alignment horizontal="center" vertical="center"/>
    </xf>
    <xf numFmtId="0" fontId="0" fillId="2" borderId="50" xfId="0" applyFill="1" applyBorder="1" applyAlignment="1">
      <alignment horizontal="left" vertical="top"/>
    </xf>
    <xf numFmtId="0" fontId="6" fillId="2" borderId="6" xfId="0" applyFont="1" applyFill="1" applyBorder="1" applyAlignment="1">
      <alignment horizontal="left" vertical="center"/>
    </xf>
    <xf numFmtId="0" fontId="0" fillId="2" borderId="12" xfId="0" applyFill="1" applyBorder="1" applyAlignment="1">
      <alignment horizontal="left" vertic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4"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2" xfId="0" applyFill="1" applyBorder="1" applyAlignment="1">
      <alignment horizontal="left"/>
    </xf>
    <xf numFmtId="0" fontId="21" fillId="2" borderId="6"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6" fillId="2" borderId="8" xfId="0" applyFont="1" applyFill="1" applyBorder="1" applyAlignment="1">
      <alignment horizontal="left"/>
    </xf>
    <xf numFmtId="0" fontId="0" fillId="2" borderId="43" xfId="0" applyFill="1" applyBorder="1" applyAlignment="1">
      <alignment horizontal="left"/>
    </xf>
    <xf numFmtId="0" fontId="0" fillId="2" borderId="64" xfId="0" applyFill="1" applyBorder="1" applyAlignment="1">
      <alignment horizontal="left" vertical="top" wrapText="1"/>
    </xf>
    <xf numFmtId="0" fontId="6" fillId="2" borderId="8" xfId="0" applyFont="1" applyFill="1" applyBorder="1" applyAlignment="1">
      <alignment horizontal="left" wrapText="1"/>
    </xf>
    <xf numFmtId="0" fontId="0" fillId="2" borderId="43" xfId="0" applyFill="1" applyBorder="1" applyAlignment="1">
      <alignment horizontal="left" wrapText="1"/>
    </xf>
    <xf numFmtId="0" fontId="0" fillId="2" borderId="6" xfId="0" applyFill="1" applyBorder="1" applyAlignment="1">
      <alignment horizontal="center"/>
    </xf>
    <xf numFmtId="0" fontId="0" fillId="2" borderId="1" xfId="0" applyFill="1" applyBorder="1" applyAlignment="1">
      <alignment horizontal="center"/>
    </xf>
    <xf numFmtId="0" fontId="0" fillId="2" borderId="8" xfId="0" applyFill="1" applyBorder="1" applyAlignment="1">
      <alignment horizontal="center"/>
    </xf>
    <xf numFmtId="0" fontId="0" fillId="2" borderId="11" xfId="0" applyFill="1" applyBorder="1" applyAlignment="1">
      <alignment horizontal="center"/>
    </xf>
  </cellXfs>
  <cellStyles count="3">
    <cellStyle name="ハイパーリンク" xfId="2" builtinId="8"/>
    <cellStyle name="悪い" xfId="1" builtinId="27"/>
    <cellStyle name="標準" xfId="0" builtinId="0"/>
  </cellStyles>
  <dxfs count="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Q$41" lockText="1" noThreeD="1"/>
</file>

<file path=xl/ctrlProps/ctrlProp10.xml><?xml version="1.0" encoding="utf-8"?>
<formControlPr xmlns="http://schemas.microsoft.com/office/spreadsheetml/2009/9/main" objectType="CheckBox" fmlaLink="$Q$36" lockText="1" noThreeD="1"/>
</file>

<file path=xl/ctrlProps/ctrlProp11.xml><?xml version="1.0" encoding="utf-8"?>
<formControlPr xmlns="http://schemas.microsoft.com/office/spreadsheetml/2009/9/main" objectType="CheckBox" fmlaLink="$Q$56" lockText="1" noThreeD="1"/>
</file>

<file path=xl/ctrlProps/ctrlProp12.xml><?xml version="1.0" encoding="utf-8"?>
<formControlPr xmlns="http://schemas.microsoft.com/office/spreadsheetml/2009/9/main" objectType="CheckBox" fmlaLink="$Q$48" lockText="1" noThreeD="1"/>
</file>

<file path=xl/ctrlProps/ctrlProp13.xml><?xml version="1.0" encoding="utf-8"?>
<formControlPr xmlns="http://schemas.microsoft.com/office/spreadsheetml/2009/9/main" objectType="CheckBox" checked="Checked" fmlaLink="$Q$61" lockText="1" noThreeD="1"/>
</file>

<file path=xl/ctrlProps/ctrlProp14.xml><?xml version="1.0" encoding="utf-8"?>
<formControlPr xmlns="http://schemas.microsoft.com/office/spreadsheetml/2009/9/main" objectType="CheckBox" checked="Checked" fmlaLink="$Q$39" lockText="1" noThreeD="1"/>
</file>

<file path=xl/ctrlProps/ctrlProp2.xml><?xml version="1.0" encoding="utf-8"?>
<formControlPr xmlns="http://schemas.microsoft.com/office/spreadsheetml/2009/9/main" objectType="CheckBox" checked="Checked" fmlaLink="$Q$50" lockText="1" noThreeD="1"/>
</file>

<file path=xl/ctrlProps/ctrlProp3.xml><?xml version="1.0" encoding="utf-8"?>
<formControlPr xmlns="http://schemas.microsoft.com/office/spreadsheetml/2009/9/main" objectType="CheckBox" checked="Checked" fmlaLink="$Q$63" lockText="1" noThreeD="1"/>
</file>

<file path=xl/ctrlProps/ctrlProp4.xml><?xml version="1.0" encoding="utf-8"?>
<formControlPr xmlns="http://schemas.microsoft.com/office/spreadsheetml/2009/9/main" objectType="CheckBox" checked="Checked" fmlaLink="$Q$41" lockText="1" noThreeD="1"/>
</file>

<file path=xl/ctrlProps/ctrlProp5.xml><?xml version="1.0" encoding="utf-8"?>
<formControlPr xmlns="http://schemas.microsoft.com/office/spreadsheetml/2009/9/main" objectType="CheckBox" checked="Checked" fmlaLink="$Q$50" lockText="1" noThreeD="1"/>
</file>

<file path=xl/ctrlProps/ctrlProp6.xml><?xml version="1.0" encoding="utf-8"?>
<formControlPr xmlns="http://schemas.microsoft.com/office/spreadsheetml/2009/9/main" objectType="CheckBox" checked="Checked" fmlaLink="$Q$63" lockText="1" noThreeD="1"/>
</file>

<file path=xl/ctrlProps/ctrlProp7.xml><?xml version="1.0" encoding="utf-8"?>
<formControlPr xmlns="http://schemas.microsoft.com/office/spreadsheetml/2009/9/main" objectType="CheckBox" checked="Checked" fmlaLink="$Q$41" lockText="1" noThreeD="1"/>
</file>

<file path=xl/ctrlProps/ctrlProp8.xml><?xml version="1.0" encoding="utf-8"?>
<formControlPr xmlns="http://schemas.microsoft.com/office/spreadsheetml/2009/9/main" objectType="CheckBox" fmlaLink="$Q$45" lockText="1" noThreeD="1"/>
</file>

<file path=xl/ctrlProps/ctrlProp9.xml><?xml version="1.0" encoding="utf-8"?>
<formControlPr xmlns="http://schemas.microsoft.com/office/spreadsheetml/2009/9/main" objectType="CheckBox" fmlaLink="$Q$5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182731</xdr:colOff>
      <xdr:row>6</xdr:row>
      <xdr:rowOff>115628</xdr:rowOff>
    </xdr:from>
    <xdr:to>
      <xdr:col>5</xdr:col>
      <xdr:colOff>233889</xdr:colOff>
      <xdr:row>8</xdr:row>
      <xdr:rowOff>124004</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926872" y="1484847"/>
          <a:ext cx="1727955" cy="464782"/>
        </a:xfrm>
        <a:prstGeom prst="wedgeRoundRectCallout">
          <a:avLst>
            <a:gd name="adj1" fmla="val 48095"/>
            <a:gd name="adj2" fmla="val 194189"/>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t>階高を数値入力してください。</a:t>
          </a:r>
        </a:p>
      </xdr:txBody>
    </xdr:sp>
    <xdr:clientData/>
  </xdr:twoCellAnchor>
  <xdr:twoCellAnchor>
    <xdr:from>
      <xdr:col>5</xdr:col>
      <xdr:colOff>28649</xdr:colOff>
      <xdr:row>11</xdr:row>
      <xdr:rowOff>16453</xdr:rowOff>
    </xdr:from>
    <xdr:to>
      <xdr:col>7</xdr:col>
      <xdr:colOff>20276</xdr:colOff>
      <xdr:row>12</xdr:row>
      <xdr:rowOff>209047</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2482372" y="2294170"/>
          <a:ext cx="1192605" cy="420366"/>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10353</xdr:colOff>
      <xdr:row>16</xdr:row>
      <xdr:rowOff>41413</xdr:rowOff>
    </xdr:from>
    <xdr:to>
      <xdr:col>7</xdr:col>
      <xdr:colOff>1525</xdr:colOff>
      <xdr:row>17</xdr:row>
      <xdr:rowOff>192299</xdr:rowOff>
    </xdr:to>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2464076" y="3457989"/>
          <a:ext cx="1192150" cy="378658"/>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461459</xdr:colOff>
      <xdr:row>6</xdr:row>
      <xdr:rowOff>3105</xdr:rowOff>
    </xdr:from>
    <xdr:to>
      <xdr:col>10</xdr:col>
      <xdr:colOff>250030</xdr:colOff>
      <xdr:row>8</xdr:row>
      <xdr:rowOff>130969</xdr:rowOff>
    </xdr:to>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2890334" y="1134199"/>
          <a:ext cx="2741321" cy="580301"/>
        </a:xfrm>
        <a:prstGeom prst="wedgeRoundRectCallout">
          <a:avLst>
            <a:gd name="adj1" fmla="val -36614"/>
            <a:gd name="adj2" fmla="val 213172"/>
            <a:gd name="adj3" fmla="val 16667"/>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lIns="0" tIns="0" rIns="0" bIns="0" rtlCol="0" anchor="t"/>
        <a:lstStyle/>
        <a:p>
          <a:pPr algn="l"/>
          <a:r>
            <a:rPr kumimoji="1" lang="ja-JP" altLang="en-US" sz="1100"/>
            <a:t>プルダウン選択してください。軟弱地盤の指定がある場合には</a:t>
          </a:r>
          <a:r>
            <a:rPr kumimoji="1" lang="en-US" altLang="ja-JP" sz="1100"/>
            <a:t>0.3</a:t>
          </a:r>
          <a:r>
            <a:rPr kumimoji="1" lang="ja-JP" altLang="en-US" sz="1100"/>
            <a:t>となります。</a:t>
          </a:r>
        </a:p>
      </xdr:txBody>
    </xdr:sp>
    <xdr:clientData/>
  </xdr:twoCellAnchor>
  <xdr:twoCellAnchor>
    <xdr:from>
      <xdr:col>7</xdr:col>
      <xdr:colOff>460940</xdr:colOff>
      <xdr:row>8</xdr:row>
      <xdr:rowOff>181310</xdr:rowOff>
    </xdr:from>
    <xdr:to>
      <xdr:col>14</xdr:col>
      <xdr:colOff>416720</xdr:colOff>
      <xdr:row>12</xdr:row>
      <xdr:rowOff>166688</xdr:rowOff>
    </xdr:to>
    <xdr:sp macro="" textlink="">
      <xdr:nvSpPr>
        <xdr:cNvPr id="6" name="吹き出し: 角を丸めた四角形 5">
          <a:extLst>
            <a:ext uri="{FF2B5EF4-FFF2-40B4-BE49-F238E27FC236}">
              <a16:creationId xmlns:a16="http://schemas.microsoft.com/office/drawing/2014/main" id="{00000000-0008-0000-0000-000006000000}"/>
            </a:ext>
          </a:extLst>
        </xdr:cNvPr>
        <xdr:cNvSpPr/>
      </xdr:nvSpPr>
      <xdr:spPr>
        <a:xfrm>
          <a:off x="4092346" y="1764841"/>
          <a:ext cx="3575280" cy="890253"/>
        </a:xfrm>
        <a:prstGeom prst="wedgeRoundRectCallout">
          <a:avLst>
            <a:gd name="adj1" fmla="val -62404"/>
            <a:gd name="adj2" fmla="val 95988"/>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t>確認申請書に記載された床面積を記載してください。ただし、壁量計算では小屋裏面積を含めて計算しますが、ここでは小屋裏面積を含めなくても良いです。</a:t>
          </a:r>
          <a:endParaRPr kumimoji="1" lang="en-US" altLang="ja-JP" sz="1100"/>
        </a:p>
        <a:p>
          <a:pPr algn="l"/>
          <a:endParaRPr kumimoji="1" lang="ja-JP" altLang="en-US" sz="1100"/>
        </a:p>
      </xdr:txBody>
    </xdr:sp>
    <xdr:clientData/>
  </xdr:twoCellAnchor>
  <xdr:twoCellAnchor>
    <xdr:from>
      <xdr:col>5</xdr:col>
      <xdr:colOff>11902</xdr:colOff>
      <xdr:row>13</xdr:row>
      <xdr:rowOff>227478</xdr:rowOff>
    </xdr:from>
    <xdr:to>
      <xdr:col>7</xdr:col>
      <xdr:colOff>11902</xdr:colOff>
      <xdr:row>15</xdr:row>
      <xdr:rowOff>207066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2465625" y="2960739"/>
          <a:ext cx="1200978" cy="435131"/>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95378</xdr:colOff>
      <xdr:row>13</xdr:row>
      <xdr:rowOff>123087</xdr:rowOff>
    </xdr:from>
    <xdr:to>
      <xdr:col>14</xdr:col>
      <xdr:colOff>392907</xdr:colOff>
      <xdr:row>17</xdr:row>
      <xdr:rowOff>83343</xdr:rowOff>
    </xdr:to>
    <xdr:sp macro="" textlink="">
      <xdr:nvSpPr>
        <xdr:cNvPr id="8" name="吹き出し: 角を丸めた四角形 7">
          <a:extLst>
            <a:ext uri="{FF2B5EF4-FFF2-40B4-BE49-F238E27FC236}">
              <a16:creationId xmlns:a16="http://schemas.microsoft.com/office/drawing/2014/main" id="{00000000-0008-0000-0000-000008000000}"/>
            </a:ext>
          </a:extLst>
        </xdr:cNvPr>
        <xdr:cNvSpPr/>
      </xdr:nvSpPr>
      <xdr:spPr>
        <a:xfrm>
          <a:off x="4893597" y="2837712"/>
          <a:ext cx="2750216" cy="865131"/>
        </a:xfrm>
        <a:prstGeom prst="wedgeRoundRectCallout">
          <a:avLst>
            <a:gd name="adj1" fmla="val -95138"/>
            <a:gd name="adj2" fmla="val 55051"/>
            <a:gd name="adj3" fmla="val 16667"/>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lIns="0" tIns="0" rIns="0" bIns="0" rtlCol="0" anchor="t"/>
        <a:lstStyle/>
        <a:p>
          <a:pPr algn="l"/>
          <a:r>
            <a:rPr kumimoji="1" lang="ja-JP" altLang="en-US" sz="1100"/>
            <a:t>屋根と外壁の仕様を選択します。</a:t>
          </a:r>
          <a:endParaRPr kumimoji="1" lang="en-US" altLang="ja-JP" sz="1100"/>
        </a:p>
        <a:p>
          <a:pPr algn="l"/>
          <a:r>
            <a:rPr kumimoji="1" lang="ja-JP" altLang="en-US" sz="1100"/>
            <a:t>実際の仕様が選択肢に無い場合には同等以上の重量の仕様を選択します。</a:t>
          </a:r>
        </a:p>
      </xdr:txBody>
    </xdr:sp>
    <xdr:clientData/>
  </xdr:twoCellAnchor>
  <xdr:twoCellAnchor>
    <xdr:from>
      <xdr:col>7</xdr:col>
      <xdr:colOff>468265</xdr:colOff>
      <xdr:row>18</xdr:row>
      <xdr:rowOff>24303</xdr:rowOff>
    </xdr:from>
    <xdr:to>
      <xdr:col>10</xdr:col>
      <xdr:colOff>60705</xdr:colOff>
      <xdr:row>21</xdr:row>
      <xdr:rowOff>41052</xdr:rowOff>
    </xdr:to>
    <xdr:sp macro="" textlink="">
      <xdr:nvSpPr>
        <xdr:cNvPr id="9" name="吹き出し: 角を丸めた四角形 8">
          <a:extLst>
            <a:ext uri="{FF2B5EF4-FFF2-40B4-BE49-F238E27FC236}">
              <a16:creationId xmlns:a16="http://schemas.microsoft.com/office/drawing/2014/main" id="{00000000-0008-0000-0000-000009000000}"/>
            </a:ext>
          </a:extLst>
        </xdr:cNvPr>
        <xdr:cNvSpPr/>
      </xdr:nvSpPr>
      <xdr:spPr>
        <a:xfrm>
          <a:off x="4099671" y="3870022"/>
          <a:ext cx="1342659" cy="695405"/>
        </a:xfrm>
        <a:prstGeom prst="wedgeRoundRectCallout">
          <a:avLst>
            <a:gd name="adj1" fmla="val -88593"/>
            <a:gd name="adj2" fmla="val 33462"/>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t>プルダウン選択します。</a:t>
          </a:r>
        </a:p>
      </xdr:txBody>
    </xdr:sp>
    <xdr:clientData/>
  </xdr:twoCellAnchor>
  <xdr:twoCellAnchor>
    <xdr:from>
      <xdr:col>5</xdr:col>
      <xdr:colOff>10353</xdr:colOff>
      <xdr:row>18</xdr:row>
      <xdr:rowOff>20705</xdr:rowOff>
    </xdr:from>
    <xdr:to>
      <xdr:col>7</xdr:col>
      <xdr:colOff>1525</xdr:colOff>
      <xdr:row>27</xdr:row>
      <xdr:rowOff>227771</xdr:rowOff>
    </xdr:to>
    <xdr:sp macro="" textlink="">
      <xdr:nvSpPr>
        <xdr:cNvPr id="11" name="四角形: 角を丸くする 10">
          <a:extLst>
            <a:ext uri="{FF2B5EF4-FFF2-40B4-BE49-F238E27FC236}">
              <a16:creationId xmlns:a16="http://schemas.microsoft.com/office/drawing/2014/main" id="{00000000-0008-0000-0000-00000B000000}"/>
            </a:ext>
          </a:extLst>
        </xdr:cNvPr>
        <xdr:cNvSpPr/>
      </xdr:nvSpPr>
      <xdr:spPr>
        <a:xfrm>
          <a:off x="2464076" y="3892825"/>
          <a:ext cx="1192150" cy="2257011"/>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257322</xdr:colOff>
      <xdr:row>29</xdr:row>
      <xdr:rowOff>216771</xdr:rowOff>
    </xdr:from>
    <xdr:to>
      <xdr:col>13</xdr:col>
      <xdr:colOff>418668</xdr:colOff>
      <xdr:row>33</xdr:row>
      <xdr:rowOff>131223</xdr:rowOff>
    </xdr:to>
    <xdr:sp macro="" textlink="">
      <xdr:nvSpPr>
        <xdr:cNvPr id="12" name="吹き出し: 角を丸めた四角形 11">
          <a:extLst>
            <a:ext uri="{FF2B5EF4-FFF2-40B4-BE49-F238E27FC236}">
              <a16:creationId xmlns:a16="http://schemas.microsoft.com/office/drawing/2014/main" id="{00000000-0008-0000-0000-00000C000000}"/>
            </a:ext>
          </a:extLst>
        </xdr:cNvPr>
        <xdr:cNvSpPr/>
      </xdr:nvSpPr>
      <xdr:spPr>
        <a:xfrm>
          <a:off x="5606828" y="6961800"/>
          <a:ext cx="1601171" cy="844801"/>
        </a:xfrm>
        <a:prstGeom prst="wedgeRoundRectCallout">
          <a:avLst>
            <a:gd name="adj1" fmla="val -20155"/>
            <a:gd name="adj2" fmla="val -104855"/>
            <a:gd name="adj3" fmla="val 16667"/>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lIns="0" tIns="0" rIns="0" bIns="0" rtlCol="0" anchor="t"/>
        <a:lstStyle/>
        <a:p>
          <a:pPr algn="l"/>
          <a:r>
            <a:rPr kumimoji="1" lang="ja-JP" altLang="en-US" sz="1100"/>
            <a:t>「任意入力」を選択した場合は、数値入力してください。</a:t>
          </a:r>
        </a:p>
      </xdr:txBody>
    </xdr:sp>
    <xdr:clientData/>
  </xdr:twoCellAnchor>
  <xdr:twoCellAnchor>
    <xdr:from>
      <xdr:col>10</xdr:col>
      <xdr:colOff>524929</xdr:colOff>
      <xdr:row>18</xdr:row>
      <xdr:rowOff>14206</xdr:rowOff>
    </xdr:from>
    <xdr:to>
      <xdr:col>15</xdr:col>
      <xdr:colOff>39651</xdr:colOff>
      <xdr:row>27</xdr:row>
      <xdr:rowOff>229897</xdr:rowOff>
    </xdr:to>
    <xdr:sp macro="" textlink="">
      <xdr:nvSpPr>
        <xdr:cNvPr id="13" name="四角形: 角を丸くする 12">
          <a:extLst>
            <a:ext uri="{FF2B5EF4-FFF2-40B4-BE49-F238E27FC236}">
              <a16:creationId xmlns:a16="http://schemas.microsoft.com/office/drawing/2014/main" id="{00000000-0008-0000-0000-00000D000000}"/>
            </a:ext>
          </a:extLst>
        </xdr:cNvPr>
        <xdr:cNvSpPr/>
      </xdr:nvSpPr>
      <xdr:spPr>
        <a:xfrm>
          <a:off x="5874435" y="4200776"/>
          <a:ext cx="1818443" cy="2308976"/>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438646</xdr:colOff>
      <xdr:row>52</xdr:row>
      <xdr:rowOff>409796</xdr:rowOff>
    </xdr:from>
    <xdr:to>
      <xdr:col>11</xdr:col>
      <xdr:colOff>37789</xdr:colOff>
      <xdr:row>56</xdr:row>
      <xdr:rowOff>10187</xdr:rowOff>
    </xdr:to>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a:xfrm>
          <a:off x="1180710" y="12648313"/>
          <a:ext cx="4782515" cy="763327"/>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440532</xdr:colOff>
      <xdr:row>57</xdr:row>
      <xdr:rowOff>3106</xdr:rowOff>
    </xdr:from>
    <xdr:to>
      <xdr:col>11</xdr:col>
      <xdr:colOff>47108</xdr:colOff>
      <xdr:row>60</xdr:row>
      <xdr:rowOff>32612</xdr:rowOff>
    </xdr:to>
    <xdr:sp macro="" textlink="">
      <xdr:nvSpPr>
        <xdr:cNvPr id="15" name="四角形: 角を丸くする 14">
          <a:extLst>
            <a:ext uri="{FF2B5EF4-FFF2-40B4-BE49-F238E27FC236}">
              <a16:creationId xmlns:a16="http://schemas.microsoft.com/office/drawing/2014/main" id="{00000000-0008-0000-0000-00000F000000}"/>
            </a:ext>
          </a:extLst>
        </xdr:cNvPr>
        <xdr:cNvSpPr/>
      </xdr:nvSpPr>
      <xdr:spPr>
        <a:xfrm>
          <a:off x="1178720" y="12980919"/>
          <a:ext cx="4833419" cy="708162"/>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229843</xdr:colOff>
      <xdr:row>48</xdr:row>
      <xdr:rowOff>201888</xdr:rowOff>
    </xdr:from>
    <xdr:to>
      <xdr:col>14</xdr:col>
      <xdr:colOff>266438</xdr:colOff>
      <xdr:row>52</xdr:row>
      <xdr:rowOff>3807</xdr:rowOff>
    </xdr:to>
    <xdr:sp macro="" textlink="">
      <xdr:nvSpPr>
        <xdr:cNvPr id="16" name="吹き出し: 角を丸めた四角形 15">
          <a:extLst>
            <a:ext uri="{FF2B5EF4-FFF2-40B4-BE49-F238E27FC236}">
              <a16:creationId xmlns:a16="http://schemas.microsoft.com/office/drawing/2014/main" id="{00000000-0008-0000-0000-000010000000}"/>
            </a:ext>
          </a:extLst>
        </xdr:cNvPr>
        <xdr:cNvSpPr/>
      </xdr:nvSpPr>
      <xdr:spPr>
        <a:xfrm>
          <a:off x="6194874" y="10988951"/>
          <a:ext cx="1322470" cy="706794"/>
        </a:xfrm>
        <a:prstGeom prst="wedgeRoundRectCallout">
          <a:avLst>
            <a:gd name="adj1" fmla="val -70799"/>
            <a:gd name="adj2" fmla="val 9910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t>プルダウン選択します。</a:t>
          </a:r>
        </a:p>
      </xdr:txBody>
    </xdr:sp>
    <xdr:clientData/>
  </xdr:twoCellAnchor>
  <xdr:twoCellAnchor>
    <xdr:from>
      <xdr:col>11</xdr:col>
      <xdr:colOff>7766</xdr:colOff>
      <xdr:row>59</xdr:row>
      <xdr:rowOff>203440</xdr:rowOff>
    </xdr:from>
    <xdr:to>
      <xdr:col>13</xdr:col>
      <xdr:colOff>48661</xdr:colOff>
      <xdr:row>60</xdr:row>
      <xdr:rowOff>222594</xdr:rowOff>
    </xdr:to>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a:xfrm>
          <a:off x="5972797" y="13633690"/>
          <a:ext cx="898145" cy="245373"/>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333374</xdr:colOff>
      <xdr:row>62</xdr:row>
      <xdr:rowOff>11906</xdr:rowOff>
    </xdr:from>
    <xdr:to>
      <xdr:col>14</xdr:col>
      <xdr:colOff>404813</xdr:colOff>
      <xdr:row>64</xdr:row>
      <xdr:rowOff>130968</xdr:rowOff>
    </xdr:to>
    <xdr:sp macro="" textlink="">
      <xdr:nvSpPr>
        <xdr:cNvPr id="19" name="吹き出し: 角を丸めた四角形 18">
          <a:extLst>
            <a:ext uri="{FF2B5EF4-FFF2-40B4-BE49-F238E27FC236}">
              <a16:creationId xmlns:a16="http://schemas.microsoft.com/office/drawing/2014/main" id="{00000000-0008-0000-0000-000013000000}"/>
            </a:ext>
          </a:extLst>
        </xdr:cNvPr>
        <xdr:cNvSpPr/>
      </xdr:nvSpPr>
      <xdr:spPr>
        <a:xfrm>
          <a:off x="4548187" y="14120812"/>
          <a:ext cx="3107532" cy="571500"/>
        </a:xfrm>
        <a:prstGeom prst="wedgeRoundRectCallout">
          <a:avLst>
            <a:gd name="adj1" fmla="val 12325"/>
            <a:gd name="adj2" fmla="val -91405"/>
            <a:gd name="adj3" fmla="val 16667"/>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lIns="0" tIns="0" rIns="0" bIns="0" rtlCol="0" anchor="t"/>
        <a:lstStyle/>
        <a:p>
          <a:pPr algn="l"/>
          <a:r>
            <a:rPr kumimoji="1" lang="ja-JP" altLang="en-US" sz="1100"/>
            <a:t>国交省大臣が基準強度の指定をした木材の場合は、基準強度を数値入力してください。</a:t>
          </a:r>
        </a:p>
      </xdr:txBody>
    </xdr:sp>
    <xdr:clientData/>
  </xdr:twoCellAnchor>
  <xdr:twoCellAnchor>
    <xdr:from>
      <xdr:col>2</xdr:col>
      <xdr:colOff>417755</xdr:colOff>
      <xdr:row>70</xdr:row>
      <xdr:rowOff>44302</xdr:rowOff>
    </xdr:from>
    <xdr:to>
      <xdr:col>8</xdr:col>
      <xdr:colOff>46942</xdr:colOff>
      <xdr:row>71</xdr:row>
      <xdr:rowOff>331469</xdr:rowOff>
    </xdr:to>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a:xfrm>
          <a:off x="1159819" y="17023168"/>
          <a:ext cx="3084768" cy="663737"/>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409471</xdr:colOff>
      <xdr:row>72</xdr:row>
      <xdr:rowOff>358741</xdr:rowOff>
    </xdr:from>
    <xdr:to>
      <xdr:col>8</xdr:col>
      <xdr:colOff>36753</xdr:colOff>
      <xdr:row>75</xdr:row>
      <xdr:rowOff>17084</xdr:rowOff>
    </xdr:to>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a:xfrm>
          <a:off x="1147659" y="17265616"/>
          <a:ext cx="3103907" cy="801343"/>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403778</xdr:colOff>
      <xdr:row>76</xdr:row>
      <xdr:rowOff>17601</xdr:rowOff>
    </xdr:from>
    <xdr:to>
      <xdr:col>8</xdr:col>
      <xdr:colOff>31061</xdr:colOff>
      <xdr:row>78</xdr:row>
      <xdr:rowOff>59014</xdr:rowOff>
    </xdr:to>
    <xdr:sp macro="" textlink="">
      <xdr:nvSpPr>
        <xdr:cNvPr id="22" name="四角形: 角を丸くする 21">
          <a:extLst>
            <a:ext uri="{FF2B5EF4-FFF2-40B4-BE49-F238E27FC236}">
              <a16:creationId xmlns:a16="http://schemas.microsoft.com/office/drawing/2014/main" id="{00000000-0008-0000-0000-000016000000}"/>
            </a:ext>
          </a:extLst>
        </xdr:cNvPr>
        <xdr:cNvSpPr/>
      </xdr:nvSpPr>
      <xdr:spPr>
        <a:xfrm>
          <a:off x="1141966" y="18448476"/>
          <a:ext cx="3103908" cy="803413"/>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383072</xdr:colOff>
      <xdr:row>79</xdr:row>
      <xdr:rowOff>23812</xdr:rowOff>
    </xdr:from>
    <xdr:to>
      <xdr:col>8</xdr:col>
      <xdr:colOff>10354</xdr:colOff>
      <xdr:row>81</xdr:row>
      <xdr:rowOff>23813</xdr:rowOff>
    </xdr:to>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a:xfrm>
          <a:off x="1121260" y="19597687"/>
          <a:ext cx="3103907" cy="762001"/>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570996</xdr:colOff>
      <xdr:row>68</xdr:row>
      <xdr:rowOff>250550</xdr:rowOff>
    </xdr:from>
    <xdr:to>
      <xdr:col>8</xdr:col>
      <xdr:colOff>326419</xdr:colOff>
      <xdr:row>69</xdr:row>
      <xdr:rowOff>169246</xdr:rowOff>
    </xdr:to>
    <xdr:sp macro="" textlink="">
      <xdr:nvSpPr>
        <xdr:cNvPr id="24" name="吹き出し: 角を丸めた四角形 23">
          <a:extLst>
            <a:ext uri="{FF2B5EF4-FFF2-40B4-BE49-F238E27FC236}">
              <a16:creationId xmlns:a16="http://schemas.microsoft.com/office/drawing/2014/main" id="{00000000-0008-0000-0000-000018000000}"/>
            </a:ext>
          </a:extLst>
        </xdr:cNvPr>
        <xdr:cNvSpPr/>
      </xdr:nvSpPr>
      <xdr:spPr>
        <a:xfrm>
          <a:off x="2996548" y="16354445"/>
          <a:ext cx="1527516" cy="339568"/>
        </a:xfrm>
        <a:prstGeom prst="wedgeRoundRectCallout">
          <a:avLst>
            <a:gd name="adj1" fmla="val -49778"/>
            <a:gd name="adj2" fmla="val 140682"/>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t>プルダウン選択します。</a:t>
          </a:r>
        </a:p>
      </xdr:txBody>
    </xdr:sp>
    <xdr:clientData/>
  </xdr:twoCellAnchor>
  <xdr:twoCellAnchor>
    <xdr:from>
      <xdr:col>8</xdr:col>
      <xdr:colOff>23810</xdr:colOff>
      <xdr:row>71</xdr:row>
      <xdr:rowOff>369094</xdr:rowOff>
    </xdr:from>
    <xdr:to>
      <xdr:col>9</xdr:col>
      <xdr:colOff>23812</xdr:colOff>
      <xdr:row>72</xdr:row>
      <xdr:rowOff>352530</xdr:rowOff>
    </xdr:to>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a:xfrm>
          <a:off x="4238623" y="16894969"/>
          <a:ext cx="583408" cy="364436"/>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16047</xdr:colOff>
      <xdr:row>77</xdr:row>
      <xdr:rowOff>369612</xdr:rowOff>
    </xdr:from>
    <xdr:to>
      <xdr:col>8</xdr:col>
      <xdr:colOff>575125</xdr:colOff>
      <xdr:row>79</xdr:row>
      <xdr:rowOff>27955</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a:xfrm>
          <a:off x="4230860" y="19181487"/>
          <a:ext cx="559078" cy="420343"/>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564768</xdr:colOff>
      <xdr:row>74</xdr:row>
      <xdr:rowOff>368058</xdr:rowOff>
    </xdr:from>
    <xdr:to>
      <xdr:col>9</xdr:col>
      <xdr:colOff>11906</xdr:colOff>
      <xdr:row>75</xdr:row>
      <xdr:rowOff>376341</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a:xfrm>
          <a:off x="4196174" y="18036933"/>
          <a:ext cx="613951" cy="389283"/>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567877</xdr:colOff>
      <xdr:row>80</xdr:row>
      <xdr:rowOff>376341</xdr:rowOff>
    </xdr:from>
    <xdr:to>
      <xdr:col>8</xdr:col>
      <xdr:colOff>567877</xdr:colOff>
      <xdr:row>81</xdr:row>
      <xdr:rowOff>347870</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a:xfrm>
          <a:off x="4199283" y="20331216"/>
          <a:ext cx="583407" cy="352529"/>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378412</xdr:colOff>
      <xdr:row>83</xdr:row>
      <xdr:rowOff>275398</xdr:rowOff>
    </xdr:from>
    <xdr:to>
      <xdr:col>12</xdr:col>
      <xdr:colOff>175488</xdr:colOff>
      <xdr:row>85</xdr:row>
      <xdr:rowOff>276951</xdr:rowOff>
    </xdr:to>
    <xdr:sp macro="" textlink="">
      <xdr:nvSpPr>
        <xdr:cNvPr id="29" name="吹き出し: 角を丸めた四角形 28">
          <a:extLst>
            <a:ext uri="{FF2B5EF4-FFF2-40B4-BE49-F238E27FC236}">
              <a16:creationId xmlns:a16="http://schemas.microsoft.com/office/drawing/2014/main" id="{00000000-0008-0000-0000-00001D000000}"/>
            </a:ext>
          </a:extLst>
        </xdr:cNvPr>
        <xdr:cNvSpPr/>
      </xdr:nvSpPr>
      <xdr:spPr>
        <a:xfrm>
          <a:off x="4009818" y="21373273"/>
          <a:ext cx="2559326" cy="608772"/>
        </a:xfrm>
        <a:prstGeom prst="wedgeRoundRectCallout">
          <a:avLst>
            <a:gd name="adj1" fmla="val -36740"/>
            <a:gd name="adj2" fmla="val -163358"/>
            <a:gd name="adj3" fmla="val 16667"/>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lIns="0" tIns="0" rIns="0" bIns="0" rtlCol="0" anchor="t"/>
        <a:lstStyle/>
        <a:p>
          <a:pPr algn="l"/>
          <a:r>
            <a:rPr kumimoji="1" lang="ja-JP" altLang="en-US" sz="1100"/>
            <a:t>大臣認定品の場合は、認定番号と基準強度を数値入力してください。</a:t>
          </a:r>
        </a:p>
      </xdr:txBody>
    </xdr:sp>
    <xdr:clientData/>
  </xdr:twoCellAnchor>
  <xdr:twoCellAnchor>
    <xdr:from>
      <xdr:col>11</xdr:col>
      <xdr:colOff>16897</xdr:colOff>
      <xdr:row>68</xdr:row>
      <xdr:rowOff>378930</xdr:rowOff>
    </xdr:from>
    <xdr:to>
      <xdr:col>15</xdr:col>
      <xdr:colOff>0</xdr:colOff>
      <xdr:row>70</xdr:row>
      <xdr:rowOff>22151</xdr:rowOff>
    </xdr:to>
    <xdr:sp macro="" textlink="">
      <xdr:nvSpPr>
        <xdr:cNvPr id="30" name="四角形: 角を丸くする 29">
          <a:extLst>
            <a:ext uri="{FF2B5EF4-FFF2-40B4-BE49-F238E27FC236}">
              <a16:creationId xmlns:a16="http://schemas.microsoft.com/office/drawing/2014/main" id="{00000000-0008-0000-0000-00001E000000}"/>
            </a:ext>
          </a:extLst>
        </xdr:cNvPr>
        <xdr:cNvSpPr/>
      </xdr:nvSpPr>
      <xdr:spPr>
        <a:xfrm>
          <a:off x="5942333" y="16482825"/>
          <a:ext cx="1710894" cy="518192"/>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45035</xdr:colOff>
      <xdr:row>72</xdr:row>
      <xdr:rowOff>123203</xdr:rowOff>
    </xdr:from>
    <xdr:to>
      <xdr:col>14</xdr:col>
      <xdr:colOff>381000</xdr:colOff>
      <xdr:row>75</xdr:row>
      <xdr:rowOff>81790</xdr:rowOff>
    </xdr:to>
    <xdr:sp macro="" textlink="">
      <xdr:nvSpPr>
        <xdr:cNvPr id="31" name="吹き出し: 角を丸めた四角形 30">
          <a:extLst>
            <a:ext uri="{FF2B5EF4-FFF2-40B4-BE49-F238E27FC236}">
              <a16:creationId xmlns:a16="http://schemas.microsoft.com/office/drawing/2014/main" id="{00000000-0008-0000-0000-00001F000000}"/>
            </a:ext>
          </a:extLst>
        </xdr:cNvPr>
        <xdr:cNvSpPr/>
      </xdr:nvSpPr>
      <xdr:spPr>
        <a:xfrm>
          <a:off x="6010066" y="17030078"/>
          <a:ext cx="1621840" cy="1101587"/>
        </a:xfrm>
        <a:prstGeom prst="wedgeRoundRectCallout">
          <a:avLst>
            <a:gd name="adj1" fmla="val -12839"/>
            <a:gd name="adj2" fmla="val -124944"/>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t>105</a:t>
          </a:r>
          <a:r>
            <a:rPr kumimoji="1" lang="ja-JP" altLang="en-US" sz="1100"/>
            <a:t>角、</a:t>
          </a:r>
          <a:r>
            <a:rPr kumimoji="1" lang="en-US" altLang="ja-JP" sz="1100"/>
            <a:t>120</a:t>
          </a:r>
          <a:r>
            <a:rPr kumimoji="1" lang="ja-JP" altLang="en-US" sz="1100"/>
            <a:t>角以外の柱を入力したい場合には数値入力してください。</a:t>
          </a:r>
        </a:p>
      </xdr:txBody>
    </xdr:sp>
    <xdr:clientData/>
  </xdr:twoCellAnchor>
  <xdr:twoCellAnchor>
    <xdr:from>
      <xdr:col>4</xdr:col>
      <xdr:colOff>319913</xdr:colOff>
      <xdr:row>34</xdr:row>
      <xdr:rowOff>214312</xdr:rowOff>
    </xdr:from>
    <xdr:to>
      <xdr:col>8</xdr:col>
      <xdr:colOff>573570</xdr:colOff>
      <xdr:row>37</xdr:row>
      <xdr:rowOff>116473</xdr:rowOff>
    </xdr:to>
    <xdr:sp macro="" textlink="">
      <xdr:nvSpPr>
        <xdr:cNvPr id="32" name="吹き出し: 角を丸めた四角形 31">
          <a:extLst>
            <a:ext uri="{FF2B5EF4-FFF2-40B4-BE49-F238E27FC236}">
              <a16:creationId xmlns:a16="http://schemas.microsoft.com/office/drawing/2014/main" id="{00000000-0008-0000-0000-000020000000}"/>
            </a:ext>
          </a:extLst>
        </xdr:cNvPr>
        <xdr:cNvSpPr/>
      </xdr:nvSpPr>
      <xdr:spPr>
        <a:xfrm>
          <a:off x="2129663" y="7679531"/>
          <a:ext cx="2658720" cy="580817"/>
        </a:xfrm>
        <a:prstGeom prst="wedgeRoundRectCallout">
          <a:avLst>
            <a:gd name="adj1" fmla="val -125290"/>
            <a:gd name="adj2" fmla="val 8012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t>2</a:t>
          </a:r>
          <a:r>
            <a:rPr kumimoji="1" lang="ja-JP" altLang="en-US" sz="1100"/>
            <a:t>－</a:t>
          </a:r>
          <a:r>
            <a:rPr kumimoji="1" lang="en-US" altLang="ja-JP" sz="1100"/>
            <a:t>1</a:t>
          </a:r>
          <a:r>
            <a:rPr kumimoji="1" lang="ja-JP" altLang="en-US" sz="1100"/>
            <a:t>の方法を採用する場合にはチェックボックスに☑を入力します。</a:t>
          </a:r>
        </a:p>
      </xdr:txBody>
    </xdr:sp>
    <xdr:clientData/>
  </xdr:twoCellAnchor>
  <xdr:twoCellAnchor>
    <xdr:from>
      <xdr:col>3</xdr:col>
      <xdr:colOff>203442</xdr:colOff>
      <xdr:row>48</xdr:row>
      <xdr:rowOff>104050</xdr:rowOff>
    </xdr:from>
    <xdr:to>
      <xdr:col>7</xdr:col>
      <xdr:colOff>422934</xdr:colOff>
      <xdr:row>51</xdr:row>
      <xdr:rowOff>11904</xdr:rowOff>
    </xdr:to>
    <xdr:sp macro="" textlink="">
      <xdr:nvSpPr>
        <xdr:cNvPr id="33" name="吹き出し: 角を丸めた四角形 32">
          <a:extLst>
            <a:ext uri="{FF2B5EF4-FFF2-40B4-BE49-F238E27FC236}">
              <a16:creationId xmlns:a16="http://schemas.microsoft.com/office/drawing/2014/main" id="{00000000-0008-0000-0000-000021000000}"/>
            </a:ext>
          </a:extLst>
        </xdr:cNvPr>
        <xdr:cNvSpPr/>
      </xdr:nvSpPr>
      <xdr:spPr>
        <a:xfrm>
          <a:off x="1394067" y="10891113"/>
          <a:ext cx="2660273" cy="586510"/>
        </a:xfrm>
        <a:prstGeom prst="wedgeRoundRectCallout">
          <a:avLst>
            <a:gd name="adj1" fmla="val -97018"/>
            <a:gd name="adj2" fmla="val -45494"/>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t>2</a:t>
          </a:r>
          <a:r>
            <a:rPr kumimoji="1" lang="ja-JP" altLang="en-US" sz="1100"/>
            <a:t>－</a:t>
          </a:r>
          <a:r>
            <a:rPr kumimoji="1" lang="en-US" altLang="ja-JP" sz="1100"/>
            <a:t>2</a:t>
          </a:r>
          <a:r>
            <a:rPr kumimoji="1" lang="ja-JP" altLang="en-US" sz="1100"/>
            <a:t>の方法を採用する場合にはチェックボックスに☑を入力します。</a:t>
          </a:r>
        </a:p>
      </xdr:txBody>
    </xdr:sp>
    <xdr:clientData/>
  </xdr:twoCellAnchor>
  <xdr:twoCellAnchor>
    <xdr:from>
      <xdr:col>1</xdr:col>
      <xdr:colOff>240714</xdr:colOff>
      <xdr:row>63</xdr:row>
      <xdr:rowOff>211723</xdr:rowOff>
    </xdr:from>
    <xdr:to>
      <xdr:col>6</xdr:col>
      <xdr:colOff>110265</xdr:colOff>
      <xdr:row>66</xdr:row>
      <xdr:rowOff>60565</xdr:rowOff>
    </xdr:to>
    <xdr:sp macro="" textlink="">
      <xdr:nvSpPr>
        <xdr:cNvPr id="34" name="吹き出し: 角を丸めた四角形 33">
          <a:extLst>
            <a:ext uri="{FF2B5EF4-FFF2-40B4-BE49-F238E27FC236}">
              <a16:creationId xmlns:a16="http://schemas.microsoft.com/office/drawing/2014/main" id="{00000000-0008-0000-0000-000022000000}"/>
            </a:ext>
          </a:extLst>
        </xdr:cNvPr>
        <xdr:cNvSpPr/>
      </xdr:nvSpPr>
      <xdr:spPr>
        <a:xfrm>
          <a:off x="514558" y="14546848"/>
          <a:ext cx="2643707" cy="527498"/>
        </a:xfrm>
        <a:prstGeom prst="wedgeRoundRectCallout">
          <a:avLst>
            <a:gd name="adj1" fmla="val -62077"/>
            <a:gd name="adj2" fmla="val -96901"/>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t>2</a:t>
          </a:r>
          <a:r>
            <a:rPr kumimoji="1" lang="ja-JP" altLang="en-US" sz="1100"/>
            <a:t>－</a:t>
          </a:r>
          <a:r>
            <a:rPr kumimoji="1" lang="en-US" altLang="ja-JP" sz="1100"/>
            <a:t>3</a:t>
          </a:r>
          <a:r>
            <a:rPr kumimoji="1" lang="ja-JP" altLang="en-US" sz="1100"/>
            <a:t>の方法を採用する場合にはチェックボックスに☑を入力します。</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37</xdr:row>
          <xdr:rowOff>219075</xdr:rowOff>
        </xdr:from>
        <xdr:to>
          <xdr:col>1</xdr:col>
          <xdr:colOff>9525</xdr:colOff>
          <xdr:row>38</xdr:row>
          <xdr:rowOff>219075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7248</xdr:colOff>
      <xdr:row>55</xdr:row>
      <xdr:rowOff>187912</xdr:rowOff>
    </xdr:from>
    <xdr:to>
      <xdr:col>13</xdr:col>
      <xdr:colOff>46073</xdr:colOff>
      <xdr:row>56</xdr:row>
      <xdr:rowOff>207066</xdr:rowOff>
    </xdr:to>
    <xdr:sp macro="" textlink="">
      <xdr:nvSpPr>
        <xdr:cNvPr id="10" name="四角形: 角を丸くする 9">
          <a:extLst>
            <a:ext uri="{FF2B5EF4-FFF2-40B4-BE49-F238E27FC236}">
              <a16:creationId xmlns:a16="http://schemas.microsoft.com/office/drawing/2014/main" id="{00000000-0008-0000-0000-00000A000000}"/>
            </a:ext>
          </a:extLst>
        </xdr:cNvPr>
        <xdr:cNvSpPr/>
      </xdr:nvSpPr>
      <xdr:spPr>
        <a:xfrm>
          <a:off x="5972279" y="12713287"/>
          <a:ext cx="896075" cy="245373"/>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1</xdr:col>
          <xdr:colOff>9525</xdr:colOff>
          <xdr:row>48</xdr:row>
          <xdr:rowOff>257175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62</xdr:row>
          <xdr:rowOff>28575</xdr:rowOff>
        </xdr:from>
        <xdr:to>
          <xdr:col>0</xdr:col>
          <xdr:colOff>266700</xdr:colOff>
          <xdr:row>63</xdr:row>
          <xdr:rowOff>28575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219075</xdr:rowOff>
        </xdr:from>
        <xdr:to>
          <xdr:col>1</xdr:col>
          <xdr:colOff>9525</xdr:colOff>
          <xdr:row>38</xdr:row>
          <xdr:rowOff>219075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393424</xdr:colOff>
      <xdr:row>38</xdr:row>
      <xdr:rowOff>82825</xdr:rowOff>
    </xdr:from>
    <xdr:to>
      <xdr:col>12</xdr:col>
      <xdr:colOff>322420</xdr:colOff>
      <xdr:row>45</xdr:row>
      <xdr:rowOff>169364</xdr:rowOff>
    </xdr:to>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a:stretch>
          <a:fillRect/>
        </a:stretch>
      </xdr:blipFill>
      <xdr:spPr>
        <a:xfrm>
          <a:off x="5765524" y="8560075"/>
          <a:ext cx="951981" cy="16791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1</xdr:col>
          <xdr:colOff>9525</xdr:colOff>
          <xdr:row>48</xdr:row>
          <xdr:rowOff>257175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62</xdr:row>
          <xdr:rowOff>28575</xdr:rowOff>
        </xdr:from>
        <xdr:to>
          <xdr:col>0</xdr:col>
          <xdr:colOff>266700</xdr:colOff>
          <xdr:row>63</xdr:row>
          <xdr:rowOff>28575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219075</xdr:rowOff>
        </xdr:from>
        <xdr:to>
          <xdr:col>1</xdr:col>
          <xdr:colOff>9525</xdr:colOff>
          <xdr:row>38</xdr:row>
          <xdr:rowOff>219075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393424</xdr:colOff>
      <xdr:row>38</xdr:row>
      <xdr:rowOff>82825</xdr:rowOff>
    </xdr:from>
    <xdr:ext cx="954362" cy="1662450"/>
    <xdr:pic>
      <xdr:nvPicPr>
        <xdr:cNvPr id="35" name="図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a:stretch>
          <a:fillRect/>
        </a:stretch>
      </xdr:blipFill>
      <xdr:spPr>
        <a:xfrm>
          <a:off x="5765524" y="8560075"/>
          <a:ext cx="951981" cy="1679119"/>
        </a:xfrm>
        <a:prstGeom prst="rect">
          <a:avLst/>
        </a:prstGeom>
      </xdr:spPr>
    </xdr:pic>
    <xdr:clientData/>
  </xdr:oneCellAnchor>
  <xdr:twoCellAnchor>
    <xdr:from>
      <xdr:col>4</xdr:col>
      <xdr:colOff>619124</xdr:colOff>
      <xdr:row>13</xdr:row>
      <xdr:rowOff>0</xdr:rowOff>
    </xdr:from>
    <xdr:to>
      <xdr:col>6</xdr:col>
      <xdr:colOff>574577</xdr:colOff>
      <xdr:row>14</xdr:row>
      <xdr:rowOff>0</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a:xfrm>
          <a:off x="2428874" y="2714625"/>
          <a:ext cx="1193703" cy="226219"/>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28575</xdr:colOff>
          <xdr:row>46</xdr:row>
          <xdr:rowOff>28575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55</xdr:row>
          <xdr:rowOff>28575</xdr:rowOff>
        </xdr:from>
        <xdr:to>
          <xdr:col>0</xdr:col>
          <xdr:colOff>266700</xdr:colOff>
          <xdr:row>56</xdr:row>
          <xdr:rowOff>28575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219075</xdr:rowOff>
        </xdr:from>
        <xdr:to>
          <xdr:col>1</xdr:col>
          <xdr:colOff>28575</xdr:colOff>
          <xdr:row>36</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55</xdr:row>
          <xdr:rowOff>28575</xdr:rowOff>
        </xdr:from>
        <xdr:to>
          <xdr:col>0</xdr:col>
          <xdr:colOff>266700</xdr:colOff>
          <xdr:row>56</xdr:row>
          <xdr:rowOff>19050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58914</xdr:colOff>
      <xdr:row>35</xdr:row>
      <xdr:rowOff>124239</xdr:rowOff>
    </xdr:from>
    <xdr:to>
      <xdr:col>11</xdr:col>
      <xdr:colOff>362781</xdr:colOff>
      <xdr:row>42</xdr:row>
      <xdr:rowOff>206967</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5432256" y="7889185"/>
          <a:ext cx="946598" cy="1673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1</xdr:col>
          <xdr:colOff>9525</xdr:colOff>
          <xdr:row>49</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62</xdr:row>
          <xdr:rowOff>28575</xdr:rowOff>
        </xdr:from>
        <xdr:to>
          <xdr:col>0</xdr:col>
          <xdr:colOff>266700</xdr:colOff>
          <xdr:row>63</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219075</xdr:rowOff>
        </xdr:from>
        <xdr:to>
          <xdr:col>1</xdr:col>
          <xdr:colOff>9525</xdr:colOff>
          <xdr:row>38</xdr:row>
          <xdr:rowOff>219075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393424</xdr:colOff>
      <xdr:row>38</xdr:row>
      <xdr:rowOff>82825</xdr:rowOff>
    </xdr:from>
    <xdr:to>
      <xdr:col>12</xdr:col>
      <xdr:colOff>263283</xdr:colOff>
      <xdr:row>45</xdr:row>
      <xdr:rowOff>169364</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5766766" y="8531086"/>
          <a:ext cx="946598" cy="1673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201930</xdr:colOff>
      <xdr:row>38</xdr:row>
      <xdr:rowOff>249556</xdr:rowOff>
    </xdr:from>
    <xdr:to>
      <xdr:col>5</xdr:col>
      <xdr:colOff>459105</xdr:colOff>
      <xdr:row>41</xdr:row>
      <xdr:rowOff>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01930" y="11670031"/>
          <a:ext cx="3295650" cy="6343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図</a:t>
          </a:r>
          <a:r>
            <a:rPr kumimoji="1" lang="en-US" altLang="ja-JP" sz="1100"/>
            <a:t>1</a:t>
          </a:r>
          <a:r>
            <a:rPr kumimoji="1" lang="ja-JP" altLang="en-US" sz="1100"/>
            <a:t>－</a:t>
          </a:r>
          <a:r>
            <a:rPr kumimoji="1" lang="en-US" altLang="ja-JP" sz="1100"/>
            <a:t>1</a:t>
          </a:r>
          <a:r>
            <a:rPr kumimoji="1" lang="ja-JP" altLang="en-US" sz="1100"/>
            <a:t>　</a:t>
          </a:r>
          <a:r>
            <a:rPr kumimoji="1" lang="en-US" altLang="ja-JP" sz="1100"/>
            <a:t>2</a:t>
          </a:r>
          <a:r>
            <a:rPr kumimoji="1" lang="ja-JP" altLang="en-US" sz="1100"/>
            <a:t>階建ての</a:t>
          </a:r>
          <a:r>
            <a:rPr kumimoji="1" lang="en-US" altLang="ja-JP" sz="1100"/>
            <a:t>2</a:t>
          </a:r>
          <a:r>
            <a:rPr kumimoji="1" lang="ja-JP" altLang="en-US" sz="1100"/>
            <a:t>階が支える部分の固定荷重と積載荷重の和</a:t>
          </a:r>
        </a:p>
      </xdr:txBody>
    </xdr:sp>
    <xdr:clientData/>
  </xdr:twoCellAnchor>
  <xdr:twoCellAnchor>
    <xdr:from>
      <xdr:col>5</xdr:col>
      <xdr:colOff>731520</xdr:colOff>
      <xdr:row>38</xdr:row>
      <xdr:rowOff>249555</xdr:rowOff>
    </xdr:from>
    <xdr:to>
      <xdr:col>8</xdr:col>
      <xdr:colOff>1162050</xdr:colOff>
      <xdr:row>40</xdr:row>
      <xdr:rowOff>276225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3769995" y="11670030"/>
          <a:ext cx="4154805" cy="5981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図</a:t>
          </a:r>
          <a:r>
            <a:rPr kumimoji="1" lang="en-US" altLang="ja-JP" sz="1100"/>
            <a:t>1</a:t>
          </a:r>
          <a:r>
            <a:rPr kumimoji="1" lang="ja-JP" altLang="en-US" sz="1100"/>
            <a:t>－</a:t>
          </a:r>
          <a:r>
            <a:rPr kumimoji="1" lang="en-US" altLang="ja-JP" sz="1100"/>
            <a:t>2</a:t>
          </a:r>
          <a:r>
            <a:rPr kumimoji="1" lang="ja-JP" altLang="en-US" sz="1100"/>
            <a:t>　</a:t>
          </a:r>
          <a:r>
            <a:rPr kumimoji="1" lang="en-US" altLang="ja-JP" sz="1100"/>
            <a:t>2</a:t>
          </a:r>
          <a:r>
            <a:rPr kumimoji="1" lang="ja-JP" altLang="en-US" sz="1100"/>
            <a:t>階建ての</a:t>
          </a:r>
          <a:r>
            <a:rPr kumimoji="1" lang="en-US" altLang="ja-JP" sz="1100"/>
            <a:t>1</a:t>
          </a:r>
          <a:r>
            <a:rPr kumimoji="1" lang="ja-JP" altLang="en-US" sz="1100"/>
            <a:t>階が支える部分の固定荷重と積載荷重の和</a:t>
          </a:r>
        </a:p>
      </xdr:txBody>
    </xdr:sp>
    <xdr:clientData/>
  </xdr:twoCellAnchor>
  <xdr:twoCellAnchor>
    <xdr:from>
      <xdr:col>0</xdr:col>
      <xdr:colOff>106680</xdr:colOff>
      <xdr:row>48</xdr:row>
      <xdr:rowOff>171450</xdr:rowOff>
    </xdr:from>
    <xdr:to>
      <xdr:col>6</xdr:col>
      <xdr:colOff>335280</xdr:colOff>
      <xdr:row>50</xdr:row>
      <xdr:rowOff>41910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06680" y="14058900"/>
          <a:ext cx="4448175" cy="3562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図</a:t>
          </a:r>
          <a:r>
            <a:rPr kumimoji="1" lang="en-US" altLang="ja-JP" sz="1100"/>
            <a:t>1</a:t>
          </a:r>
          <a:r>
            <a:rPr kumimoji="1" lang="ja-JP" altLang="en-US" sz="1100"/>
            <a:t>－</a:t>
          </a:r>
          <a:r>
            <a:rPr kumimoji="1" lang="en-US" altLang="ja-JP" sz="1100"/>
            <a:t>3 </a:t>
          </a:r>
          <a:r>
            <a:rPr kumimoji="1" lang="ja-JP" altLang="en-US" sz="1100"/>
            <a:t>　平屋建ての</a:t>
          </a:r>
          <a:r>
            <a:rPr kumimoji="1" lang="en-US" altLang="ja-JP" sz="1100"/>
            <a:t>1</a:t>
          </a:r>
          <a:r>
            <a:rPr kumimoji="1" lang="ja-JP" altLang="en-US" sz="1100"/>
            <a:t>階が支える部分の固定荷重と積載荷重の和</a:t>
          </a:r>
        </a:p>
      </xdr:txBody>
    </xdr:sp>
    <xdr:clientData/>
  </xdr:twoCellAnchor>
  <xdr:oneCellAnchor>
    <xdr:from>
      <xdr:col>1</xdr:col>
      <xdr:colOff>133350</xdr:colOff>
      <xdr:row>205</xdr:row>
      <xdr:rowOff>254158</xdr:rowOff>
    </xdr:from>
    <xdr:ext cx="3314699" cy="629468"/>
    <mc:AlternateContent xmlns:mc="http://schemas.openxmlformats.org/markup-compatibility/2006" xmlns:a14="http://schemas.microsoft.com/office/drawing/2010/main">
      <mc:Choice Requires="a14">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457200" y="55099108"/>
              <a:ext cx="3314699" cy="6294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kumimoji="1" lang="en-US" altLang="ja-JP" sz="1100" i="1">
                            <a:latin typeface="Cambria Math" panose="02040503050406030204" pitchFamily="18" charset="0"/>
                          </a:rPr>
                        </m:ctrlPr>
                      </m:fPr>
                      <m:num>
                        <m:r>
                          <a:rPr kumimoji="1" lang="en-US" altLang="ja-JP" sz="1100" i="1">
                            <a:latin typeface="Cambria Math" panose="02040503050406030204" pitchFamily="18" charset="0"/>
                          </a:rPr>
                          <m:t>3.46</m:t>
                        </m:r>
                        <m:r>
                          <a:rPr kumimoji="1" lang="en-US" altLang="ja-JP" sz="1100" i="1">
                            <a:latin typeface="Cambria Math" panose="02040503050406030204" pitchFamily="18" charset="0"/>
                          </a:rPr>
                          <m:t>𝑙</m:t>
                        </m:r>
                      </m:num>
                      <m:den>
                        <m:sSub>
                          <m:sSubPr>
                            <m:ctrlPr>
                              <a:rPr kumimoji="1" lang="en-US" altLang="ja-JP" sz="1100" i="1">
                                <a:latin typeface="Cambria Math" panose="02040503050406030204" pitchFamily="18" charset="0"/>
                              </a:rPr>
                            </m:ctrlPr>
                          </m:sSubPr>
                          <m:e>
                            <m:r>
                              <a:rPr kumimoji="1" lang="en-US" altLang="ja-JP" sz="1100" i="1">
                                <a:latin typeface="Cambria Math" panose="02040503050406030204" pitchFamily="18" charset="0"/>
                              </a:rPr>
                              <m:t>𝑑</m:t>
                            </m:r>
                          </m:e>
                          <m:sub>
                            <m:r>
                              <a:rPr kumimoji="1" lang="en-US" altLang="ja-JP" sz="1100" i="1">
                                <a:latin typeface="Cambria Math" panose="02040503050406030204" pitchFamily="18" charset="0"/>
                              </a:rPr>
                              <m:t>𝑏</m:t>
                            </m:r>
                          </m:sub>
                        </m:sSub>
                      </m:den>
                    </m:f>
                    <m:r>
                      <a:rPr kumimoji="1" lang="en-US" altLang="ja-JP" sz="1100" i="1">
                        <a:latin typeface="Cambria Math" panose="02040503050406030204" pitchFamily="18" charset="0"/>
                        <a:ea typeface="Cambria Math" panose="02040503050406030204" pitchFamily="18" charset="0"/>
                      </a:rPr>
                      <m:t>≤30</m:t>
                    </m:r>
                    <m:r>
                      <a:rPr kumimoji="1" lang="ja-JP" altLang="en-US" sz="1100" i="1">
                        <a:latin typeface="Cambria Math" panose="02040503050406030204" pitchFamily="18" charset="0"/>
                        <a:ea typeface="Cambria Math" panose="02040503050406030204" pitchFamily="18" charset="0"/>
                      </a:rPr>
                      <m:t>：　　　　　　　　</m:t>
                    </m:r>
                    <m:sSub>
                      <m:sSubPr>
                        <m:ctrlPr>
                          <a:rPr kumimoji="1" lang="en-US" altLang="ja-JP" sz="1100" i="1">
                            <a:latin typeface="Cambria Math" panose="02040503050406030204" pitchFamily="18" charset="0"/>
                          </a:rPr>
                        </m:ctrlPr>
                      </m:sSubPr>
                      <m:e>
                        <m:r>
                          <a:rPr kumimoji="1" lang="en-US" altLang="ja-JP" sz="1100" i="1">
                            <a:latin typeface="Cambria Math" panose="02040503050406030204" pitchFamily="18" charset="0"/>
                          </a:rPr>
                          <m:t>𝐴</m:t>
                        </m:r>
                      </m:e>
                      <m:sub>
                        <m:r>
                          <a:rPr kumimoji="1" lang="en-US" altLang="ja-JP" sz="1100" i="1">
                            <a:latin typeface="Cambria Math" panose="02040503050406030204" pitchFamily="18" charset="0"/>
                          </a:rPr>
                          <m:t>𝑎</m:t>
                        </m:r>
                      </m:sub>
                    </m:sSub>
                    <m:r>
                      <a:rPr kumimoji="1" lang="ja-JP" altLang="en-US" sz="1100" i="1">
                        <a:latin typeface="Cambria Math" panose="02040503050406030204" pitchFamily="18" charset="0"/>
                        <a:ea typeface="Cambria Math" panose="02040503050406030204" pitchFamily="18" charset="0"/>
                      </a:rPr>
                      <m:t>＝</m:t>
                    </m:r>
                    <m:f>
                      <m:fPr>
                        <m:ctrlPr>
                          <a:rPr kumimoji="1" lang="en-US" altLang="ja-JP" sz="1100" i="1">
                            <a:solidFill>
                              <a:schemeClr val="tx1"/>
                            </a:solidFill>
                            <a:effectLst/>
                            <a:latin typeface="Cambria Math" panose="02040503050406030204" pitchFamily="18" charset="0"/>
                            <a:ea typeface="+mn-ea"/>
                            <a:cs typeface="+mn-cs"/>
                          </a:rPr>
                        </m:ctrlPr>
                      </m:fPr>
                      <m:num>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1.1</m:t>
                            </m:r>
                          </m:num>
                          <m:den>
                            <m:r>
                              <a:rPr kumimoji="1" lang="en-US" altLang="ja-JP" sz="1100" i="1">
                                <a:solidFill>
                                  <a:schemeClr val="tx1"/>
                                </a:solidFill>
                                <a:effectLst/>
                                <a:latin typeface="Cambria Math" panose="02040503050406030204" pitchFamily="18" charset="0"/>
                                <a:ea typeface="+mn-ea"/>
                                <a:cs typeface="+mn-cs"/>
                              </a:rPr>
                              <m:t>3</m:t>
                            </m:r>
                          </m:den>
                        </m:f>
                        <m:r>
                          <m:rPr>
                            <m:nor/>
                          </m:rPr>
                          <a:rPr lang="ja-JP" altLang="en-US" sz="1100" i="1">
                            <a:solidFill>
                              <a:schemeClr val="tx1"/>
                            </a:solidFill>
                            <a:effectLst/>
                            <a:latin typeface="+mn-lt"/>
                            <a:ea typeface="+mn-ea"/>
                            <a:cs typeface="+mn-cs"/>
                          </a:rPr>
                          <m:t> </m:t>
                        </m:r>
                        <m:sSub>
                          <m:sSubPr>
                            <m:ctrlPr>
                              <a:rPr lang="en-US" altLang="ja-JP" sz="1100" i="1">
                                <a:solidFill>
                                  <a:schemeClr val="tx1"/>
                                </a:solidFill>
                                <a:effectLst/>
                                <a:latin typeface="Cambria Math" panose="02040503050406030204" pitchFamily="18" charset="0"/>
                                <a:ea typeface="+mn-ea"/>
                                <a:cs typeface="+mn-cs"/>
                              </a:rPr>
                            </m:ctrlPr>
                          </m:sSubPr>
                          <m:e>
                            <m:r>
                              <a:rPr lang="en-US" altLang="ja-JP" sz="1100" i="1">
                                <a:solidFill>
                                  <a:schemeClr val="tx1"/>
                                </a:solidFill>
                                <a:effectLst/>
                                <a:latin typeface="Cambria Math" panose="02040503050406030204" pitchFamily="18" charset="0"/>
                                <a:ea typeface="+mn-ea"/>
                                <a:cs typeface="+mn-cs"/>
                              </a:rPr>
                              <m:t>𝐹</m:t>
                            </m:r>
                          </m:e>
                          <m:sub>
                            <m:r>
                              <a:rPr lang="en-US" altLang="ja-JP" sz="1100" i="1">
                                <a:solidFill>
                                  <a:schemeClr val="tx1"/>
                                </a:solidFill>
                                <a:effectLst/>
                                <a:latin typeface="Cambria Math" panose="02040503050406030204" pitchFamily="18" charset="0"/>
                                <a:ea typeface="+mn-ea"/>
                                <a:cs typeface="+mn-cs"/>
                              </a:rPr>
                              <m:t>𝑐</m:t>
                            </m:r>
                          </m:sub>
                        </m:sSub>
                        <m:sSub>
                          <m:sSubPr>
                            <m:ctrlPr>
                              <a:rPr lang="en-US" altLang="ja-JP" sz="1100" i="1">
                                <a:solidFill>
                                  <a:schemeClr val="tx1"/>
                                </a:solidFill>
                                <a:effectLst/>
                                <a:latin typeface="Cambria Math" panose="02040503050406030204" pitchFamily="18" charset="0"/>
                                <a:ea typeface="+mn-ea"/>
                                <a:cs typeface="+mn-cs"/>
                              </a:rPr>
                            </m:ctrlPr>
                          </m:sSubPr>
                          <m:e>
                            <m:r>
                              <a:rPr lang="en-US" altLang="ja-JP" sz="1100" i="1">
                                <a:solidFill>
                                  <a:schemeClr val="tx1"/>
                                </a:solidFill>
                                <a:effectLst/>
                                <a:latin typeface="Cambria Math" panose="02040503050406030204" pitchFamily="18" charset="0"/>
                                <a:ea typeface="+mn-ea"/>
                                <a:cs typeface="+mn-cs"/>
                              </a:rPr>
                              <m:t>𝐴</m:t>
                            </m:r>
                          </m:e>
                          <m:sub>
                            <m:r>
                              <a:rPr lang="en-US" altLang="ja-JP" sz="1100" i="1">
                                <a:solidFill>
                                  <a:schemeClr val="tx1"/>
                                </a:solidFill>
                                <a:effectLst/>
                                <a:latin typeface="Cambria Math" panose="02040503050406030204" pitchFamily="18" charset="0"/>
                                <a:ea typeface="+mn-ea"/>
                                <a:cs typeface="+mn-cs"/>
                              </a:rPr>
                              <m:t>𝑐𝑒</m:t>
                            </m:r>
                          </m:sub>
                        </m:sSub>
                      </m:num>
                      <m:den>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𝑤</m:t>
                            </m:r>
                          </m:e>
                          <m:sub>
                            <m:r>
                              <a:rPr kumimoji="1" lang="en-US" altLang="ja-JP" sz="1100" i="1">
                                <a:solidFill>
                                  <a:schemeClr val="tx1"/>
                                </a:solidFill>
                                <a:effectLst/>
                                <a:latin typeface="Cambria Math" panose="02040503050406030204" pitchFamily="18" charset="0"/>
                                <a:ea typeface="+mn-ea"/>
                                <a:cs typeface="+mn-cs"/>
                              </a:rPr>
                              <m:t>0</m:t>
                            </m:r>
                          </m:sub>
                        </m:sSub>
                      </m:den>
                    </m:f>
                    <m:r>
                      <a:rPr kumimoji="1" lang="en-US" altLang="ja-JP" sz="1100" b="0" i="1">
                        <a:latin typeface="Cambria Math" panose="02040503050406030204" pitchFamily="18" charset="0"/>
                        <a:ea typeface="Cambria Math" panose="02040503050406030204" pitchFamily="18" charset="0"/>
                      </a:rPr>
                      <m:t>  </m:t>
                    </m:r>
                  </m:oMath>
                </m:oMathPara>
              </a14:m>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Choice>
      <mc:Fallback xmlns="">
        <xdr:sp macro="" textlink="">
          <xdr:nvSpPr>
            <xdr:cNvPr id="5" name="テキスト ボックス 4">
              <a:extLst>
                <a:ext uri="{FF2B5EF4-FFF2-40B4-BE49-F238E27FC236}">
                  <a16:creationId xmlns:a16="http://schemas.microsoft.com/office/drawing/2014/main" id="{78FA274A-4015-4486-B183-86D7D980A298}"/>
                </a:ext>
              </a:extLst>
            </xdr:cNvPr>
            <xdr:cNvSpPr txBox="1"/>
          </xdr:nvSpPr>
          <xdr:spPr>
            <a:xfrm>
              <a:off x="457200" y="55099108"/>
              <a:ext cx="3314699" cy="6294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i="0">
                  <a:latin typeface="Cambria Math" panose="02040503050406030204" pitchFamily="18" charset="0"/>
                </a:rPr>
                <a:t>3.46𝑙/𝑑_𝑏 </a:t>
              </a:r>
              <a:r>
                <a:rPr kumimoji="1" lang="en-US" altLang="ja-JP" sz="1100" i="0">
                  <a:latin typeface="Cambria Math" panose="02040503050406030204" pitchFamily="18" charset="0"/>
                  <a:ea typeface="Cambria Math" panose="02040503050406030204" pitchFamily="18" charset="0"/>
                </a:rPr>
                <a:t>≤30</a:t>
              </a:r>
              <a:r>
                <a:rPr kumimoji="1" lang="ja-JP" altLang="en-US" sz="1100" i="0">
                  <a:latin typeface="Cambria Math" panose="02040503050406030204" pitchFamily="18" charset="0"/>
                  <a:ea typeface="Cambria Math" panose="02040503050406030204" pitchFamily="18" charset="0"/>
                </a:rPr>
                <a:t>：　　　　　　　　</a:t>
              </a:r>
              <a:r>
                <a:rPr kumimoji="1" lang="en-US" altLang="ja-JP" sz="1100" i="0">
                  <a:latin typeface="Cambria Math" panose="02040503050406030204" pitchFamily="18" charset="0"/>
                </a:rPr>
                <a:t>𝐴_𝑎</a:t>
              </a:r>
              <a:r>
                <a:rPr kumimoji="1" lang="ja-JP" altLang="en-US" sz="1100" i="0">
                  <a:latin typeface="Cambria Math" panose="02040503050406030204" pitchFamily="18" charset="0"/>
                  <a:ea typeface="Cambria Math" panose="02040503050406030204" pitchFamily="18" charset="0"/>
                </a:rPr>
                <a:t>＝</a:t>
              </a:r>
              <a:r>
                <a:rPr kumimoji="1" lang="en-US" altLang="ja-JP" sz="1100" i="0">
                  <a:solidFill>
                    <a:schemeClr val="tx1"/>
                  </a:solidFill>
                  <a:effectLst/>
                  <a:latin typeface="Cambria Math" panose="02040503050406030204" pitchFamily="18" charset="0"/>
                  <a:ea typeface="+mn-ea"/>
                  <a:cs typeface="+mn-cs"/>
                </a:rPr>
                <a:t>(1.1/3</a:t>
              </a:r>
              <a:r>
                <a:rPr kumimoji="1" lang="ja-JP" altLang="en-US" sz="1100" i="0">
                  <a:solidFill>
                    <a:schemeClr val="tx1"/>
                  </a:solidFill>
                  <a:effectLst/>
                  <a:latin typeface="+mn-lt"/>
                  <a:ea typeface="+mn-ea"/>
                  <a:cs typeface="+mn-cs"/>
                </a:rPr>
                <a:t> "</a:t>
              </a:r>
              <a:r>
                <a:rPr lang="ja-JP" altLang="en-US" sz="1100" i="0">
                  <a:solidFill>
                    <a:schemeClr val="tx1"/>
                  </a:solidFill>
                  <a:effectLst/>
                  <a:latin typeface="+mn-lt"/>
                  <a:ea typeface="+mn-ea"/>
                  <a:cs typeface="+mn-cs"/>
                </a:rPr>
                <a:t> </a:t>
              </a:r>
              <a:r>
                <a:rPr lang="en-US" altLang="ja-JP" sz="1100" i="0">
                  <a:solidFill>
                    <a:schemeClr val="tx1"/>
                  </a:solidFill>
                  <a:effectLst/>
                  <a:latin typeface="Cambria Math" panose="02040503050406030204" pitchFamily="18" charset="0"/>
                  <a:ea typeface="+mn-ea"/>
                  <a:cs typeface="+mn-cs"/>
                </a:rPr>
                <a:t>" 𝐹_𝑐 𝐴_𝑐𝑒</a:t>
              </a:r>
              <a:r>
                <a:rPr kumimoji="1" lang="en-US" altLang="ja-JP" sz="1100" i="0">
                  <a:solidFill>
                    <a:schemeClr val="tx1"/>
                  </a:solidFill>
                  <a:effectLst/>
                  <a:latin typeface="Cambria Math" panose="02040503050406030204" pitchFamily="18" charset="0"/>
                  <a:ea typeface="+mn-ea"/>
                  <a:cs typeface="+mn-cs"/>
                </a:rPr>
                <a:t>)/𝑤_0 </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 </a:t>
              </a:r>
              <a:r>
                <a:rPr kumimoji="1" lang="en-US" altLang="ja-JP" sz="1100" b="0" i="0">
                  <a:latin typeface="Cambria Math" panose="02040503050406030204" pitchFamily="18" charset="0"/>
                  <a:ea typeface="Cambria Math" panose="02040503050406030204" pitchFamily="18" charset="0"/>
                </a:rPr>
                <a:t>  </a:t>
              </a:r>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Fallback>
    </mc:AlternateContent>
    <xdr:clientData/>
  </xdr:oneCellAnchor>
  <xdr:twoCellAnchor>
    <xdr:from>
      <xdr:col>0</xdr:col>
      <xdr:colOff>281940</xdr:colOff>
      <xdr:row>205</xdr:row>
      <xdr:rowOff>64770</xdr:rowOff>
    </xdr:from>
    <xdr:to>
      <xdr:col>1</xdr:col>
      <xdr:colOff>190500</xdr:colOff>
      <xdr:row>213</xdr:row>
      <xdr:rowOff>161925</xdr:rowOff>
    </xdr:to>
    <xdr:sp macro="" textlink="">
      <xdr:nvSpPr>
        <xdr:cNvPr id="8" name="左中かっこ 7">
          <a:extLst>
            <a:ext uri="{FF2B5EF4-FFF2-40B4-BE49-F238E27FC236}">
              <a16:creationId xmlns:a16="http://schemas.microsoft.com/office/drawing/2014/main" id="{00000000-0008-0000-0500-000008000000}"/>
            </a:ext>
          </a:extLst>
        </xdr:cNvPr>
        <xdr:cNvSpPr/>
      </xdr:nvSpPr>
      <xdr:spPr>
        <a:xfrm>
          <a:off x="281940" y="54909720"/>
          <a:ext cx="232410" cy="245935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257176</xdr:colOff>
      <xdr:row>208</xdr:row>
      <xdr:rowOff>47625</xdr:rowOff>
    </xdr:from>
    <xdr:ext cx="3981450" cy="662489"/>
    <mc:AlternateContent xmlns:mc="http://schemas.openxmlformats.org/markup-compatibility/2006" xmlns:a14="http://schemas.microsoft.com/office/drawing/2010/main">
      <mc:Choice Requires="a14">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581026" y="55778400"/>
              <a:ext cx="3981450" cy="662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1" lang="en-US" altLang="ja-JP" sz="1100" i="1">
                        <a:latin typeface="Cambria Math" panose="02040503050406030204" pitchFamily="18" charset="0"/>
                        <a:ea typeface="Cambria Math" panose="02040503050406030204" pitchFamily="18" charset="0"/>
                      </a:rPr>
                      <m:t>30&lt;</m:t>
                    </m:r>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3.46</m:t>
                        </m:r>
                        <m:r>
                          <a:rPr kumimoji="1" lang="en-US" altLang="ja-JP" sz="1100" i="1">
                            <a:solidFill>
                              <a:schemeClr val="tx1"/>
                            </a:solidFill>
                            <a:effectLst/>
                            <a:latin typeface="Cambria Math" panose="02040503050406030204" pitchFamily="18" charset="0"/>
                            <a:ea typeface="+mn-ea"/>
                            <a:cs typeface="+mn-cs"/>
                          </a:rPr>
                          <m:t>𝑙</m:t>
                        </m:r>
                      </m:num>
                      <m:den>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𝑑</m:t>
                            </m:r>
                          </m:e>
                          <m:sub>
                            <m:r>
                              <a:rPr kumimoji="1" lang="en-US" altLang="ja-JP" sz="1100" i="1">
                                <a:solidFill>
                                  <a:schemeClr val="tx1"/>
                                </a:solidFill>
                                <a:effectLst/>
                                <a:latin typeface="Cambria Math" panose="02040503050406030204" pitchFamily="18" charset="0"/>
                                <a:ea typeface="+mn-ea"/>
                                <a:cs typeface="+mn-cs"/>
                              </a:rPr>
                              <m:t>𝑏</m:t>
                            </m:r>
                          </m:sub>
                        </m:sSub>
                      </m:den>
                    </m:f>
                    <m:r>
                      <a:rPr kumimoji="1" lang="en-US" altLang="ja-JP" sz="1100" i="1">
                        <a:solidFill>
                          <a:schemeClr val="tx1"/>
                        </a:solidFill>
                        <a:effectLst/>
                        <a:latin typeface="Cambria Math" panose="02040503050406030204" pitchFamily="18" charset="0"/>
                        <a:ea typeface="+mn-ea"/>
                        <a:cs typeface="+mn-cs"/>
                      </a:rPr>
                      <m:t>≤100</m:t>
                    </m:r>
                    <m:r>
                      <a:rPr kumimoji="1" lang="ja-JP" altLang="en-US" sz="1100" i="1">
                        <a:latin typeface="Cambria Math" panose="02040503050406030204" pitchFamily="18" charset="0"/>
                        <a:ea typeface="Cambria Math" panose="02040503050406030204" pitchFamily="18" charset="0"/>
                      </a:rPr>
                      <m:t>：　　　　　</m:t>
                    </m:r>
                    <m:sSub>
                      <m:sSubPr>
                        <m:ctrlPr>
                          <a:rPr kumimoji="1" lang="en-US" altLang="ja-JP" sz="1100" i="1">
                            <a:latin typeface="Cambria Math" panose="02040503050406030204" pitchFamily="18" charset="0"/>
                          </a:rPr>
                        </m:ctrlPr>
                      </m:sSubPr>
                      <m:e>
                        <m:r>
                          <a:rPr kumimoji="1" lang="en-US" altLang="ja-JP" sz="1100" i="1">
                            <a:latin typeface="Cambria Math" panose="02040503050406030204" pitchFamily="18" charset="0"/>
                          </a:rPr>
                          <m:t>𝐴</m:t>
                        </m:r>
                      </m:e>
                      <m:sub>
                        <m:r>
                          <a:rPr kumimoji="1" lang="en-US" altLang="ja-JP" sz="1100" i="1">
                            <a:latin typeface="Cambria Math" panose="02040503050406030204" pitchFamily="18" charset="0"/>
                          </a:rPr>
                          <m:t>𝑎</m:t>
                        </m:r>
                      </m:sub>
                    </m:sSub>
                    <m:r>
                      <a:rPr kumimoji="1" lang="ja-JP" altLang="en-US" sz="1100" i="1">
                        <a:latin typeface="Cambria Math" panose="02040503050406030204" pitchFamily="18" charset="0"/>
                      </a:rPr>
                      <m:t>＝</m:t>
                    </m:r>
                    <m:f>
                      <m:fPr>
                        <m:ctrlPr>
                          <a:rPr kumimoji="1" lang="en-US" altLang="ja-JP" sz="1100" i="1">
                            <a:solidFill>
                              <a:schemeClr val="tx1"/>
                            </a:solidFill>
                            <a:effectLst/>
                            <a:latin typeface="Cambria Math" panose="02040503050406030204" pitchFamily="18" charset="0"/>
                            <a:ea typeface="+mn-ea"/>
                            <a:cs typeface="+mn-cs"/>
                          </a:rPr>
                        </m:ctrlPr>
                      </m:fPr>
                      <m:num>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1.1</m:t>
                            </m:r>
                          </m:num>
                          <m:den>
                            <m:r>
                              <a:rPr kumimoji="1" lang="en-US" altLang="ja-JP" sz="1100" i="1">
                                <a:solidFill>
                                  <a:schemeClr val="tx1"/>
                                </a:solidFill>
                                <a:effectLst/>
                                <a:latin typeface="Cambria Math" panose="02040503050406030204" pitchFamily="18" charset="0"/>
                                <a:ea typeface="+mn-ea"/>
                                <a:cs typeface="+mn-cs"/>
                              </a:rPr>
                              <m:t>3</m:t>
                            </m:r>
                          </m:den>
                        </m:f>
                        <m:d>
                          <m:dPr>
                            <m:ctrlPr>
                              <a:rPr kumimoji="1" lang="en-US" altLang="ja-JP" sz="1100" i="1">
                                <a:solidFill>
                                  <a:schemeClr val="tx1"/>
                                </a:solidFill>
                                <a:effectLst/>
                                <a:latin typeface="Cambria Math" panose="02040503050406030204" pitchFamily="18" charset="0"/>
                                <a:ea typeface="+mn-ea"/>
                                <a:cs typeface="+mn-cs"/>
                              </a:rPr>
                            </m:ctrlPr>
                          </m:dPr>
                          <m:e>
                            <m:r>
                              <a:rPr kumimoji="1" lang="en-US" altLang="ja-JP" sz="1100" i="1">
                                <a:solidFill>
                                  <a:schemeClr val="tx1"/>
                                </a:solidFill>
                                <a:effectLst/>
                                <a:latin typeface="Cambria Math" panose="02040503050406030204" pitchFamily="18" charset="0"/>
                                <a:ea typeface="+mn-ea"/>
                                <a:cs typeface="+mn-cs"/>
                              </a:rPr>
                              <m:t>1.3</m:t>
                            </m:r>
                            <m:r>
                              <a:rPr kumimoji="1" lang="ja-JP" altLang="en-US" sz="1100" i="1">
                                <a:solidFill>
                                  <a:schemeClr val="tx1"/>
                                </a:solidFill>
                                <a:effectLst/>
                                <a:latin typeface="Cambria Math" panose="02040503050406030204" pitchFamily="18" charset="0"/>
                                <a:ea typeface="+mn-ea"/>
                                <a:cs typeface="+mn-cs"/>
                              </a:rPr>
                              <m:t>－</m:t>
                            </m:r>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0.0346</m:t>
                                </m:r>
                                <m:r>
                                  <a:rPr kumimoji="1" lang="en-US" altLang="ja-JP" sz="1100" i="1">
                                    <a:solidFill>
                                      <a:schemeClr val="tx1"/>
                                    </a:solidFill>
                                    <a:effectLst/>
                                    <a:latin typeface="Cambria Math" panose="02040503050406030204" pitchFamily="18" charset="0"/>
                                    <a:ea typeface="+mn-ea"/>
                                    <a:cs typeface="+mn-cs"/>
                                  </a:rPr>
                                  <m:t>𝑙</m:t>
                                </m:r>
                              </m:num>
                              <m:den>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𝑑</m:t>
                                    </m:r>
                                  </m:e>
                                  <m:sub>
                                    <m:r>
                                      <a:rPr kumimoji="1" lang="en-US" altLang="ja-JP" sz="1100" i="1">
                                        <a:solidFill>
                                          <a:schemeClr val="tx1"/>
                                        </a:solidFill>
                                        <a:effectLst/>
                                        <a:latin typeface="Cambria Math" panose="02040503050406030204" pitchFamily="18" charset="0"/>
                                        <a:ea typeface="+mn-ea"/>
                                        <a:cs typeface="+mn-cs"/>
                                      </a:rPr>
                                      <m:t>𝑏</m:t>
                                    </m:r>
                                  </m:sub>
                                </m:sSub>
                              </m:den>
                            </m:f>
                          </m:e>
                        </m:d>
                        <m:r>
                          <m:rPr>
                            <m:nor/>
                          </m:rPr>
                          <a:rPr lang="ja-JP" altLang="en-US" sz="1100" i="1">
                            <a:solidFill>
                              <a:schemeClr val="tx1"/>
                            </a:solidFill>
                            <a:effectLst/>
                            <a:latin typeface="+mn-lt"/>
                            <a:ea typeface="+mn-ea"/>
                            <a:cs typeface="+mn-cs"/>
                          </a:rPr>
                          <m:t> </m:t>
                        </m:r>
                        <m:sSub>
                          <m:sSubPr>
                            <m:ctrlPr>
                              <a:rPr lang="en-US" altLang="ja-JP" sz="1100" i="1">
                                <a:solidFill>
                                  <a:schemeClr val="tx1"/>
                                </a:solidFill>
                                <a:effectLst/>
                                <a:latin typeface="Cambria Math" panose="02040503050406030204" pitchFamily="18" charset="0"/>
                                <a:ea typeface="+mn-ea"/>
                                <a:cs typeface="+mn-cs"/>
                              </a:rPr>
                            </m:ctrlPr>
                          </m:sSubPr>
                          <m:e>
                            <m:r>
                              <a:rPr lang="en-US" altLang="ja-JP" sz="1100" i="1">
                                <a:solidFill>
                                  <a:schemeClr val="tx1"/>
                                </a:solidFill>
                                <a:effectLst/>
                                <a:latin typeface="Cambria Math" panose="02040503050406030204" pitchFamily="18" charset="0"/>
                                <a:ea typeface="+mn-ea"/>
                                <a:cs typeface="+mn-cs"/>
                              </a:rPr>
                              <m:t>𝐹</m:t>
                            </m:r>
                          </m:e>
                          <m:sub>
                            <m:r>
                              <a:rPr lang="en-US" altLang="ja-JP" sz="1100" i="1">
                                <a:solidFill>
                                  <a:schemeClr val="tx1"/>
                                </a:solidFill>
                                <a:effectLst/>
                                <a:latin typeface="Cambria Math" panose="02040503050406030204" pitchFamily="18" charset="0"/>
                                <a:ea typeface="+mn-ea"/>
                                <a:cs typeface="+mn-cs"/>
                              </a:rPr>
                              <m:t>𝑐</m:t>
                            </m:r>
                          </m:sub>
                        </m:sSub>
                        <m:sSub>
                          <m:sSubPr>
                            <m:ctrlPr>
                              <a:rPr lang="en-US" altLang="ja-JP" sz="1100" i="1">
                                <a:solidFill>
                                  <a:schemeClr val="tx1"/>
                                </a:solidFill>
                                <a:effectLst/>
                                <a:latin typeface="Cambria Math" panose="02040503050406030204" pitchFamily="18" charset="0"/>
                                <a:ea typeface="+mn-ea"/>
                                <a:cs typeface="+mn-cs"/>
                              </a:rPr>
                            </m:ctrlPr>
                          </m:sSubPr>
                          <m:e>
                            <m:r>
                              <a:rPr lang="en-US" altLang="ja-JP" sz="1100" i="1">
                                <a:solidFill>
                                  <a:schemeClr val="tx1"/>
                                </a:solidFill>
                                <a:effectLst/>
                                <a:latin typeface="Cambria Math" panose="02040503050406030204" pitchFamily="18" charset="0"/>
                                <a:ea typeface="+mn-ea"/>
                                <a:cs typeface="+mn-cs"/>
                              </a:rPr>
                              <m:t>𝐴</m:t>
                            </m:r>
                          </m:e>
                          <m:sub>
                            <m:r>
                              <a:rPr lang="en-US" altLang="ja-JP" sz="1100" i="1">
                                <a:solidFill>
                                  <a:schemeClr val="tx1"/>
                                </a:solidFill>
                                <a:effectLst/>
                                <a:latin typeface="Cambria Math" panose="02040503050406030204" pitchFamily="18" charset="0"/>
                                <a:ea typeface="+mn-ea"/>
                                <a:cs typeface="+mn-cs"/>
                              </a:rPr>
                              <m:t>𝑐𝑒</m:t>
                            </m:r>
                          </m:sub>
                        </m:sSub>
                      </m:num>
                      <m:den>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𝑤</m:t>
                            </m:r>
                          </m:e>
                          <m:sub>
                            <m:r>
                              <a:rPr kumimoji="1" lang="en-US" altLang="ja-JP" sz="1100" i="1">
                                <a:solidFill>
                                  <a:schemeClr val="tx1"/>
                                </a:solidFill>
                                <a:effectLst/>
                                <a:latin typeface="Cambria Math" panose="02040503050406030204" pitchFamily="18" charset="0"/>
                                <a:ea typeface="+mn-ea"/>
                                <a:cs typeface="+mn-cs"/>
                              </a:rPr>
                              <m:t>0</m:t>
                            </m:r>
                          </m:sub>
                        </m:sSub>
                      </m:den>
                    </m:f>
                    <m:r>
                      <a:rPr kumimoji="1" lang="en-US" altLang="ja-JP" sz="1100" b="0" i="1">
                        <a:latin typeface="Cambria Math" panose="02040503050406030204" pitchFamily="18" charset="0"/>
                        <a:ea typeface="Cambria Math" panose="02040503050406030204" pitchFamily="18" charset="0"/>
                      </a:rPr>
                      <m:t>  </m:t>
                    </m:r>
                  </m:oMath>
                </m:oMathPara>
              </a14:m>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Choice>
      <mc:Fallback xmlns="">
        <xdr:sp macro="" textlink="">
          <xdr:nvSpPr>
            <xdr:cNvPr id="9" name="テキスト ボックス 8">
              <a:extLst>
                <a:ext uri="{FF2B5EF4-FFF2-40B4-BE49-F238E27FC236}">
                  <a16:creationId xmlns:a16="http://schemas.microsoft.com/office/drawing/2014/main" id="{FE866228-9804-4DFF-830F-00D5C1E3A167}"/>
                </a:ext>
              </a:extLst>
            </xdr:cNvPr>
            <xdr:cNvSpPr txBox="1"/>
          </xdr:nvSpPr>
          <xdr:spPr>
            <a:xfrm>
              <a:off x="581026" y="55778400"/>
              <a:ext cx="3981450" cy="662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i="0">
                  <a:latin typeface="Cambria Math" panose="02040503050406030204" pitchFamily="18" charset="0"/>
                  <a:ea typeface="Cambria Math" panose="02040503050406030204" pitchFamily="18" charset="0"/>
                </a:rPr>
                <a:t>30&lt;</a:t>
              </a:r>
              <a:r>
                <a:rPr kumimoji="1" lang="en-US" altLang="ja-JP" sz="1100" i="0">
                  <a:solidFill>
                    <a:schemeClr val="tx1"/>
                  </a:solidFill>
                  <a:effectLst/>
                  <a:latin typeface="Cambria Math" panose="02040503050406030204" pitchFamily="18" charset="0"/>
                  <a:ea typeface="+mn-ea"/>
                  <a:cs typeface="+mn-cs"/>
                </a:rPr>
                <a:t>3.46𝑙/𝑑_𝑏 ≤100</a:t>
              </a:r>
              <a:r>
                <a:rPr kumimoji="1" lang="ja-JP" altLang="en-US" sz="1100" i="0">
                  <a:latin typeface="Cambria Math" panose="02040503050406030204" pitchFamily="18" charset="0"/>
                  <a:ea typeface="Cambria Math" panose="02040503050406030204" pitchFamily="18" charset="0"/>
                </a:rPr>
                <a:t>：　　　　　</a:t>
              </a:r>
              <a:r>
                <a:rPr kumimoji="1" lang="en-US" altLang="ja-JP" sz="1100" i="0">
                  <a:latin typeface="Cambria Math" panose="02040503050406030204" pitchFamily="18" charset="0"/>
                </a:rPr>
                <a:t>𝐴_𝑎</a:t>
              </a:r>
              <a:r>
                <a:rPr kumimoji="1" lang="ja-JP" altLang="en-US" sz="1100" i="0">
                  <a:latin typeface="Cambria Math" panose="02040503050406030204" pitchFamily="18" charset="0"/>
                </a:rPr>
                <a:t>＝</a:t>
              </a:r>
              <a:r>
                <a:rPr kumimoji="1" lang="en-US" altLang="ja-JP" sz="1100" i="0">
                  <a:solidFill>
                    <a:schemeClr val="tx1"/>
                  </a:solidFill>
                  <a:effectLst/>
                  <a:latin typeface="Cambria Math" panose="02040503050406030204" pitchFamily="18" charset="0"/>
                  <a:ea typeface="+mn-ea"/>
                  <a:cs typeface="+mn-cs"/>
                </a:rPr>
                <a:t>(1.1/3 (1.3</a:t>
              </a:r>
              <a:r>
                <a:rPr kumimoji="1" lang="ja-JP" altLang="en-US" sz="1100" i="0">
                  <a:solidFill>
                    <a:schemeClr val="tx1"/>
                  </a:solidFill>
                  <a:effectLst/>
                  <a:latin typeface="Cambria Math" panose="02040503050406030204" pitchFamily="18" charset="0"/>
                  <a:ea typeface="+mn-ea"/>
                  <a:cs typeface="+mn-cs"/>
                </a:rPr>
                <a:t>－</a:t>
              </a:r>
              <a:r>
                <a:rPr kumimoji="1" lang="en-US" altLang="ja-JP" sz="1100" i="0">
                  <a:solidFill>
                    <a:schemeClr val="tx1"/>
                  </a:solidFill>
                  <a:effectLst/>
                  <a:latin typeface="Cambria Math" panose="02040503050406030204" pitchFamily="18" charset="0"/>
                  <a:ea typeface="+mn-ea"/>
                  <a:cs typeface="+mn-cs"/>
                </a:rPr>
                <a:t>0.0346𝑙/𝑑_𝑏 )</a:t>
              </a:r>
              <a:r>
                <a:rPr kumimoji="1" lang="ja-JP" altLang="en-US" sz="1100" i="0">
                  <a:solidFill>
                    <a:schemeClr val="tx1"/>
                  </a:solidFill>
                  <a:effectLst/>
                  <a:latin typeface="+mn-lt"/>
                  <a:ea typeface="+mn-ea"/>
                  <a:cs typeface="+mn-cs"/>
                </a:rPr>
                <a:t>"</a:t>
              </a:r>
              <a:r>
                <a:rPr lang="ja-JP" altLang="en-US" sz="1100" i="0">
                  <a:solidFill>
                    <a:schemeClr val="tx1"/>
                  </a:solidFill>
                  <a:effectLst/>
                  <a:latin typeface="+mn-lt"/>
                  <a:ea typeface="+mn-ea"/>
                  <a:cs typeface="+mn-cs"/>
                </a:rPr>
                <a:t> </a:t>
              </a:r>
              <a:r>
                <a:rPr lang="en-US" altLang="ja-JP" sz="1100" i="0">
                  <a:solidFill>
                    <a:schemeClr val="tx1"/>
                  </a:solidFill>
                  <a:effectLst/>
                  <a:latin typeface="Cambria Math" panose="02040503050406030204" pitchFamily="18" charset="0"/>
                  <a:ea typeface="+mn-ea"/>
                  <a:cs typeface="+mn-cs"/>
                </a:rPr>
                <a:t>" 𝐹_𝑐 𝐴_𝑐𝑒</a:t>
              </a:r>
              <a:r>
                <a:rPr kumimoji="1" lang="en-US" altLang="ja-JP" sz="1100" i="0">
                  <a:solidFill>
                    <a:schemeClr val="tx1"/>
                  </a:solidFill>
                  <a:effectLst/>
                  <a:latin typeface="Cambria Math" panose="02040503050406030204" pitchFamily="18" charset="0"/>
                  <a:ea typeface="+mn-ea"/>
                  <a:cs typeface="+mn-cs"/>
                </a:rPr>
                <a:t>)/𝑤_0 </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 </a:t>
              </a:r>
              <a:r>
                <a:rPr kumimoji="1" lang="en-US" altLang="ja-JP" sz="1100" b="0" i="0">
                  <a:latin typeface="Cambria Math" panose="02040503050406030204" pitchFamily="18" charset="0"/>
                  <a:ea typeface="Cambria Math" panose="02040503050406030204" pitchFamily="18" charset="0"/>
                </a:rPr>
                <a:t>  </a:t>
              </a:r>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Fallback>
    </mc:AlternateContent>
    <xdr:clientData/>
  </xdr:oneCellAnchor>
  <xdr:oneCellAnchor>
    <xdr:from>
      <xdr:col>1</xdr:col>
      <xdr:colOff>114301</xdr:colOff>
      <xdr:row>210</xdr:row>
      <xdr:rowOff>190500</xdr:rowOff>
    </xdr:from>
    <xdr:ext cx="3943350" cy="740074"/>
    <mc:AlternateContent xmlns:mc="http://schemas.openxmlformats.org/markup-compatibility/2006" xmlns:a14="http://schemas.microsoft.com/office/drawing/2010/main">
      <mc:Choice Requires="a14">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438151" y="56511825"/>
              <a:ext cx="3943350" cy="7400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1" lang="en-US" altLang="ja-JP" sz="1100" i="1">
                        <a:latin typeface="Cambria Math" panose="02040503050406030204" pitchFamily="18" charset="0"/>
                        <a:ea typeface="Cambria Math" panose="02040503050406030204" pitchFamily="18" charset="0"/>
                      </a:rPr>
                      <m:t>100&lt;</m:t>
                    </m:r>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3.46</m:t>
                        </m:r>
                        <m:r>
                          <a:rPr kumimoji="1" lang="en-US" altLang="ja-JP" sz="1100" i="1">
                            <a:solidFill>
                              <a:schemeClr val="tx1"/>
                            </a:solidFill>
                            <a:effectLst/>
                            <a:latin typeface="Cambria Math" panose="02040503050406030204" pitchFamily="18" charset="0"/>
                            <a:ea typeface="+mn-ea"/>
                            <a:cs typeface="+mn-cs"/>
                          </a:rPr>
                          <m:t>𝑙</m:t>
                        </m:r>
                      </m:num>
                      <m:den>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𝑑</m:t>
                            </m:r>
                          </m:e>
                          <m:sub>
                            <m:r>
                              <a:rPr kumimoji="1" lang="en-US" altLang="ja-JP" sz="1100" i="1">
                                <a:solidFill>
                                  <a:schemeClr val="tx1"/>
                                </a:solidFill>
                                <a:effectLst/>
                                <a:latin typeface="Cambria Math" panose="02040503050406030204" pitchFamily="18" charset="0"/>
                                <a:ea typeface="+mn-ea"/>
                                <a:cs typeface="+mn-cs"/>
                              </a:rPr>
                              <m:t>𝑏</m:t>
                            </m:r>
                          </m:sub>
                        </m:sSub>
                      </m:den>
                    </m:f>
                    <m:r>
                      <a:rPr kumimoji="1" lang="ja-JP" altLang="en-US" sz="1100" i="1">
                        <a:latin typeface="Cambria Math" panose="02040503050406030204" pitchFamily="18" charset="0"/>
                        <a:ea typeface="Cambria Math" panose="02040503050406030204" pitchFamily="18" charset="0"/>
                      </a:rPr>
                      <m:t>：　　　　　 　　</m:t>
                    </m:r>
                    <m:sSub>
                      <m:sSubPr>
                        <m:ctrlPr>
                          <a:rPr kumimoji="1" lang="en-US" altLang="ja-JP" sz="1100" i="1">
                            <a:latin typeface="Cambria Math" panose="02040503050406030204" pitchFamily="18" charset="0"/>
                          </a:rPr>
                        </m:ctrlPr>
                      </m:sSubPr>
                      <m:e>
                        <m:r>
                          <a:rPr kumimoji="1" lang="en-US" altLang="ja-JP" sz="1100" i="1">
                            <a:latin typeface="Cambria Math" panose="02040503050406030204" pitchFamily="18" charset="0"/>
                          </a:rPr>
                          <m:t>𝐴</m:t>
                        </m:r>
                      </m:e>
                      <m:sub>
                        <m:r>
                          <a:rPr kumimoji="1" lang="en-US" altLang="ja-JP" sz="1100" i="1">
                            <a:latin typeface="Cambria Math" panose="02040503050406030204" pitchFamily="18" charset="0"/>
                          </a:rPr>
                          <m:t>𝑎</m:t>
                        </m:r>
                      </m:sub>
                    </m:sSub>
                    <m:r>
                      <a:rPr kumimoji="1" lang="ja-JP" altLang="en-US" sz="1100" i="1">
                        <a:latin typeface="Cambria Math" panose="02040503050406030204" pitchFamily="18" charset="0"/>
                      </a:rPr>
                      <m:t>＝</m:t>
                    </m:r>
                    <m:f>
                      <m:fPr>
                        <m:ctrlPr>
                          <a:rPr kumimoji="1" lang="en-US" altLang="ja-JP" sz="1100" i="1">
                            <a:solidFill>
                              <a:schemeClr val="tx1"/>
                            </a:solidFill>
                            <a:effectLst/>
                            <a:latin typeface="Cambria Math" panose="02040503050406030204" pitchFamily="18" charset="0"/>
                            <a:ea typeface="+mn-ea"/>
                            <a:cs typeface="+mn-cs"/>
                          </a:rPr>
                        </m:ctrlPr>
                      </m:fPr>
                      <m:num>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1.1</m:t>
                            </m:r>
                          </m:num>
                          <m:den>
                            <m:r>
                              <a:rPr kumimoji="1" lang="en-US" altLang="ja-JP" sz="1100" i="1">
                                <a:solidFill>
                                  <a:schemeClr val="tx1"/>
                                </a:solidFill>
                                <a:effectLst/>
                                <a:latin typeface="Cambria Math" panose="02040503050406030204" pitchFamily="18" charset="0"/>
                                <a:ea typeface="+mn-ea"/>
                                <a:cs typeface="+mn-cs"/>
                              </a:rPr>
                              <m:t>3</m:t>
                            </m:r>
                          </m:den>
                        </m:f>
                        <m:r>
                          <a:rPr kumimoji="1" lang="ja-JP" altLang="en-US" sz="1100" i="1">
                            <a:solidFill>
                              <a:schemeClr val="tx1"/>
                            </a:solidFill>
                            <a:effectLst/>
                            <a:latin typeface="Cambria Math" panose="02040503050406030204" pitchFamily="18" charset="0"/>
                            <a:ea typeface="+mn-ea"/>
                            <a:cs typeface="+mn-cs"/>
                          </a:rPr>
                          <m:t>・</m:t>
                        </m:r>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3000</m:t>
                            </m:r>
                            <m:sSup>
                              <m:sSupPr>
                                <m:ctrlPr>
                                  <a:rPr kumimoji="1" lang="en-US" altLang="ja-JP" sz="1100" i="1">
                                    <a:solidFill>
                                      <a:schemeClr val="tx1"/>
                                    </a:solidFill>
                                    <a:effectLst/>
                                    <a:latin typeface="Cambria Math" panose="02040503050406030204" pitchFamily="18" charset="0"/>
                                    <a:ea typeface="+mn-ea"/>
                                    <a:cs typeface="+mn-cs"/>
                                  </a:rPr>
                                </m:ctrlPr>
                              </m:sSupPr>
                              <m:e>
                                <m:sSup>
                                  <m:sSupPr>
                                    <m:ctrlPr>
                                      <a:rPr kumimoji="1" lang="en-US" altLang="ja-JP" sz="1100" i="1">
                                        <a:solidFill>
                                          <a:schemeClr val="tx1"/>
                                        </a:solidFill>
                                        <a:effectLst/>
                                        <a:latin typeface="Cambria Math" panose="02040503050406030204" pitchFamily="18" charset="0"/>
                                        <a:ea typeface="+mn-ea"/>
                                        <a:cs typeface="+mn-cs"/>
                                      </a:rPr>
                                    </m:ctrlPr>
                                  </m:sSupPr>
                                  <m:e>
                                    <m:r>
                                      <a:rPr kumimoji="1" lang="en-US" altLang="ja-JP" sz="1100" i="1">
                                        <a:solidFill>
                                          <a:schemeClr val="tx1"/>
                                        </a:solidFill>
                                        <a:effectLst/>
                                        <a:latin typeface="Cambria Math" panose="02040503050406030204" pitchFamily="18" charset="0"/>
                                        <a:ea typeface="+mn-ea"/>
                                        <a:cs typeface="+mn-cs"/>
                                      </a:rPr>
                                      <m:t>𝑑</m:t>
                                    </m:r>
                                  </m:e>
                                  <m:sup>
                                    <m:r>
                                      <a:rPr kumimoji="1" lang="en-US" altLang="ja-JP" sz="1100" i="1">
                                        <a:solidFill>
                                          <a:schemeClr val="tx1"/>
                                        </a:solidFill>
                                        <a:effectLst/>
                                        <a:latin typeface="Cambria Math" panose="02040503050406030204" pitchFamily="18" charset="0"/>
                                        <a:ea typeface="+mn-ea"/>
                                        <a:cs typeface="+mn-cs"/>
                                      </a:rPr>
                                      <m:t>𝑏</m:t>
                                    </m:r>
                                  </m:sup>
                                </m:sSup>
                              </m:e>
                              <m:sup>
                                <m:r>
                                  <a:rPr kumimoji="1" lang="en-US" altLang="ja-JP" sz="1100" i="1">
                                    <a:solidFill>
                                      <a:schemeClr val="tx1"/>
                                    </a:solidFill>
                                    <a:effectLst/>
                                    <a:latin typeface="Cambria Math" panose="02040503050406030204" pitchFamily="18" charset="0"/>
                                    <a:ea typeface="+mn-ea"/>
                                    <a:cs typeface="+mn-cs"/>
                                  </a:rPr>
                                  <m:t>2</m:t>
                                </m:r>
                              </m:sup>
                            </m:sSup>
                          </m:num>
                          <m:den>
                            <m:sSup>
                              <m:sSupPr>
                                <m:ctrlPr>
                                  <a:rPr kumimoji="1" lang="en-US" altLang="ja-JP" sz="1100" i="1">
                                    <a:solidFill>
                                      <a:schemeClr val="tx1"/>
                                    </a:solidFill>
                                    <a:effectLst/>
                                    <a:latin typeface="Cambria Math" panose="02040503050406030204" pitchFamily="18" charset="0"/>
                                    <a:ea typeface="+mn-ea"/>
                                    <a:cs typeface="+mn-cs"/>
                                  </a:rPr>
                                </m:ctrlPr>
                              </m:sSupPr>
                              <m:e>
                                <m:r>
                                  <a:rPr kumimoji="1" lang="en-US" altLang="ja-JP" sz="1100" i="1">
                                    <a:solidFill>
                                      <a:schemeClr val="tx1"/>
                                    </a:solidFill>
                                    <a:effectLst/>
                                    <a:latin typeface="Cambria Math" panose="02040503050406030204" pitchFamily="18" charset="0"/>
                                    <a:ea typeface="+mn-ea"/>
                                    <a:cs typeface="+mn-cs"/>
                                  </a:rPr>
                                  <m:t>(3.46</m:t>
                                </m:r>
                                <m:r>
                                  <a:rPr kumimoji="1" lang="en-US" altLang="ja-JP" sz="1100" i="1">
                                    <a:solidFill>
                                      <a:schemeClr val="tx1"/>
                                    </a:solidFill>
                                    <a:effectLst/>
                                    <a:latin typeface="Cambria Math" panose="02040503050406030204" pitchFamily="18" charset="0"/>
                                    <a:ea typeface="+mn-ea"/>
                                    <a:cs typeface="+mn-cs"/>
                                  </a:rPr>
                                  <m:t>𝑙</m:t>
                                </m:r>
                                <m:r>
                                  <a:rPr kumimoji="1" lang="en-US" altLang="ja-JP" sz="1100" i="1">
                                    <a:solidFill>
                                      <a:schemeClr val="tx1"/>
                                    </a:solidFill>
                                    <a:effectLst/>
                                    <a:latin typeface="Cambria Math" panose="02040503050406030204" pitchFamily="18" charset="0"/>
                                    <a:ea typeface="+mn-ea"/>
                                    <a:cs typeface="+mn-cs"/>
                                  </a:rPr>
                                  <m:t>)</m:t>
                                </m:r>
                              </m:e>
                              <m:sup>
                                <m:r>
                                  <a:rPr kumimoji="1" lang="en-US" altLang="ja-JP" sz="1100" i="1">
                                    <a:solidFill>
                                      <a:schemeClr val="tx1"/>
                                    </a:solidFill>
                                    <a:effectLst/>
                                    <a:latin typeface="Cambria Math" panose="02040503050406030204" pitchFamily="18" charset="0"/>
                                    <a:ea typeface="+mn-ea"/>
                                    <a:cs typeface="+mn-cs"/>
                                  </a:rPr>
                                  <m:t>2</m:t>
                                </m:r>
                              </m:sup>
                            </m:sSup>
                          </m:den>
                        </m:f>
                        <m:r>
                          <m:rPr>
                            <m:nor/>
                          </m:rPr>
                          <a:rPr lang="ja-JP" altLang="en-US" sz="1100" i="1">
                            <a:solidFill>
                              <a:schemeClr val="tx1"/>
                            </a:solidFill>
                            <a:effectLst/>
                            <a:latin typeface="+mn-lt"/>
                            <a:ea typeface="+mn-ea"/>
                            <a:cs typeface="+mn-cs"/>
                          </a:rPr>
                          <m:t> </m:t>
                        </m:r>
                        <m:sSub>
                          <m:sSubPr>
                            <m:ctrlPr>
                              <a:rPr lang="en-US" altLang="ja-JP" sz="1100" i="1">
                                <a:solidFill>
                                  <a:schemeClr val="tx1"/>
                                </a:solidFill>
                                <a:effectLst/>
                                <a:latin typeface="Cambria Math" panose="02040503050406030204" pitchFamily="18" charset="0"/>
                                <a:ea typeface="+mn-ea"/>
                                <a:cs typeface="+mn-cs"/>
                              </a:rPr>
                            </m:ctrlPr>
                          </m:sSubPr>
                          <m:e>
                            <m:r>
                              <a:rPr lang="en-US" altLang="ja-JP" sz="1100" i="1">
                                <a:solidFill>
                                  <a:schemeClr val="tx1"/>
                                </a:solidFill>
                                <a:effectLst/>
                                <a:latin typeface="Cambria Math" panose="02040503050406030204" pitchFamily="18" charset="0"/>
                                <a:ea typeface="+mn-ea"/>
                                <a:cs typeface="+mn-cs"/>
                              </a:rPr>
                              <m:t>𝐹</m:t>
                            </m:r>
                          </m:e>
                          <m:sub>
                            <m:r>
                              <a:rPr lang="en-US" altLang="ja-JP" sz="1100" i="1">
                                <a:solidFill>
                                  <a:schemeClr val="tx1"/>
                                </a:solidFill>
                                <a:effectLst/>
                                <a:latin typeface="Cambria Math" panose="02040503050406030204" pitchFamily="18" charset="0"/>
                                <a:ea typeface="+mn-ea"/>
                                <a:cs typeface="+mn-cs"/>
                              </a:rPr>
                              <m:t>𝑐</m:t>
                            </m:r>
                          </m:sub>
                        </m:sSub>
                        <m:sSub>
                          <m:sSubPr>
                            <m:ctrlPr>
                              <a:rPr lang="en-US" altLang="ja-JP" sz="1100" i="1">
                                <a:solidFill>
                                  <a:schemeClr val="tx1"/>
                                </a:solidFill>
                                <a:effectLst/>
                                <a:latin typeface="Cambria Math" panose="02040503050406030204" pitchFamily="18" charset="0"/>
                                <a:ea typeface="+mn-ea"/>
                                <a:cs typeface="+mn-cs"/>
                              </a:rPr>
                            </m:ctrlPr>
                          </m:sSubPr>
                          <m:e>
                            <m:r>
                              <a:rPr lang="en-US" altLang="ja-JP" sz="1100" i="1">
                                <a:solidFill>
                                  <a:schemeClr val="tx1"/>
                                </a:solidFill>
                                <a:effectLst/>
                                <a:latin typeface="Cambria Math" panose="02040503050406030204" pitchFamily="18" charset="0"/>
                                <a:ea typeface="+mn-ea"/>
                                <a:cs typeface="+mn-cs"/>
                              </a:rPr>
                              <m:t>𝐴</m:t>
                            </m:r>
                          </m:e>
                          <m:sub>
                            <m:r>
                              <a:rPr lang="en-US" altLang="ja-JP" sz="1100" i="1">
                                <a:solidFill>
                                  <a:schemeClr val="tx1"/>
                                </a:solidFill>
                                <a:effectLst/>
                                <a:latin typeface="Cambria Math" panose="02040503050406030204" pitchFamily="18" charset="0"/>
                                <a:ea typeface="+mn-ea"/>
                                <a:cs typeface="+mn-cs"/>
                              </a:rPr>
                              <m:t>𝑐𝑒</m:t>
                            </m:r>
                          </m:sub>
                        </m:sSub>
                      </m:num>
                      <m:den>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𝑤</m:t>
                            </m:r>
                          </m:e>
                          <m:sub>
                            <m:r>
                              <a:rPr kumimoji="1" lang="en-US" altLang="ja-JP" sz="1100" i="1">
                                <a:solidFill>
                                  <a:schemeClr val="tx1"/>
                                </a:solidFill>
                                <a:effectLst/>
                                <a:latin typeface="Cambria Math" panose="02040503050406030204" pitchFamily="18" charset="0"/>
                                <a:ea typeface="+mn-ea"/>
                                <a:cs typeface="+mn-cs"/>
                              </a:rPr>
                              <m:t>0</m:t>
                            </m:r>
                          </m:sub>
                        </m:sSub>
                      </m:den>
                    </m:f>
                    <m:r>
                      <a:rPr kumimoji="1" lang="en-US" altLang="ja-JP" sz="1100" b="0" i="1">
                        <a:latin typeface="Cambria Math" panose="02040503050406030204" pitchFamily="18" charset="0"/>
                        <a:ea typeface="Cambria Math" panose="02040503050406030204" pitchFamily="18" charset="0"/>
                      </a:rPr>
                      <m:t>  </m:t>
                    </m:r>
                  </m:oMath>
                </m:oMathPara>
              </a14:m>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Choice>
      <mc:Fallback xmlns="">
        <xdr:sp macro="" textlink="">
          <xdr:nvSpPr>
            <xdr:cNvPr id="11" name="テキスト ボックス 10">
              <a:extLst>
                <a:ext uri="{FF2B5EF4-FFF2-40B4-BE49-F238E27FC236}">
                  <a16:creationId xmlns:a16="http://schemas.microsoft.com/office/drawing/2014/main" id="{C090130F-1B36-4FDE-9FC8-650B94CECA44}"/>
                </a:ext>
              </a:extLst>
            </xdr:cNvPr>
            <xdr:cNvSpPr txBox="1"/>
          </xdr:nvSpPr>
          <xdr:spPr>
            <a:xfrm>
              <a:off x="438151" y="56511825"/>
              <a:ext cx="3943350" cy="7400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i="0">
                  <a:latin typeface="Cambria Math" panose="02040503050406030204" pitchFamily="18" charset="0"/>
                  <a:ea typeface="Cambria Math" panose="02040503050406030204" pitchFamily="18" charset="0"/>
                </a:rPr>
                <a:t>100&lt;</a:t>
              </a:r>
              <a:r>
                <a:rPr kumimoji="1" lang="en-US" altLang="ja-JP" sz="1100" i="0">
                  <a:solidFill>
                    <a:schemeClr val="tx1"/>
                  </a:solidFill>
                  <a:effectLst/>
                  <a:latin typeface="Cambria Math" panose="02040503050406030204" pitchFamily="18" charset="0"/>
                  <a:ea typeface="+mn-ea"/>
                  <a:cs typeface="+mn-cs"/>
                </a:rPr>
                <a:t>3.46𝑙/𝑑_𝑏 </a:t>
              </a:r>
              <a:r>
                <a:rPr kumimoji="1" lang="ja-JP" altLang="en-US" sz="1100" i="0">
                  <a:latin typeface="Cambria Math" panose="02040503050406030204" pitchFamily="18" charset="0"/>
                  <a:ea typeface="Cambria Math" panose="02040503050406030204" pitchFamily="18" charset="0"/>
                </a:rPr>
                <a:t>：　　　　　 　　</a:t>
              </a:r>
              <a:r>
                <a:rPr kumimoji="1" lang="en-US" altLang="ja-JP" sz="1100" i="0">
                  <a:latin typeface="Cambria Math" panose="02040503050406030204" pitchFamily="18" charset="0"/>
                </a:rPr>
                <a:t>𝐴_𝑎</a:t>
              </a:r>
              <a:r>
                <a:rPr kumimoji="1" lang="ja-JP" altLang="en-US" sz="1100" i="0">
                  <a:latin typeface="Cambria Math" panose="02040503050406030204" pitchFamily="18" charset="0"/>
                </a:rPr>
                <a:t>＝</a:t>
              </a:r>
              <a:r>
                <a:rPr kumimoji="1" lang="en-US" altLang="ja-JP" sz="1100" i="0">
                  <a:solidFill>
                    <a:schemeClr val="tx1"/>
                  </a:solidFill>
                  <a:effectLst/>
                  <a:latin typeface="Cambria Math" panose="02040503050406030204" pitchFamily="18" charset="0"/>
                  <a:ea typeface="+mn-ea"/>
                  <a:cs typeface="+mn-cs"/>
                </a:rPr>
                <a:t>(1.1/3</a:t>
              </a:r>
              <a:r>
                <a:rPr kumimoji="1" lang="ja-JP" altLang="en-US" sz="1100" i="0">
                  <a:solidFill>
                    <a:schemeClr val="tx1"/>
                  </a:solidFill>
                  <a:effectLst/>
                  <a:latin typeface="Cambria Math" panose="02040503050406030204" pitchFamily="18" charset="0"/>
                  <a:ea typeface="+mn-ea"/>
                  <a:cs typeface="+mn-cs"/>
                </a:rPr>
                <a:t>・</a:t>
              </a:r>
              <a:r>
                <a:rPr kumimoji="1" lang="en-US" altLang="ja-JP" sz="1100" i="0">
                  <a:solidFill>
                    <a:schemeClr val="tx1"/>
                  </a:solidFill>
                  <a:effectLst/>
                  <a:latin typeface="Cambria Math" panose="02040503050406030204" pitchFamily="18" charset="0"/>
                  <a:ea typeface="+mn-ea"/>
                  <a:cs typeface="+mn-cs"/>
                </a:rPr>
                <a:t>(3000〖𝑑^𝑏〗^2)/〖(3.46𝑙)〗^2 </a:t>
              </a:r>
              <a:r>
                <a:rPr kumimoji="1" lang="ja-JP" altLang="en-US" sz="1100" i="0">
                  <a:solidFill>
                    <a:schemeClr val="tx1"/>
                  </a:solidFill>
                  <a:effectLst/>
                  <a:latin typeface="+mn-lt"/>
                  <a:ea typeface="+mn-ea"/>
                  <a:cs typeface="+mn-cs"/>
                </a:rPr>
                <a:t> "</a:t>
              </a:r>
              <a:r>
                <a:rPr lang="ja-JP" altLang="en-US" sz="1100" i="0">
                  <a:solidFill>
                    <a:schemeClr val="tx1"/>
                  </a:solidFill>
                  <a:effectLst/>
                  <a:latin typeface="+mn-lt"/>
                  <a:ea typeface="+mn-ea"/>
                  <a:cs typeface="+mn-cs"/>
                </a:rPr>
                <a:t> </a:t>
              </a:r>
              <a:r>
                <a:rPr lang="en-US" altLang="ja-JP" sz="1100" i="0">
                  <a:solidFill>
                    <a:schemeClr val="tx1"/>
                  </a:solidFill>
                  <a:effectLst/>
                  <a:latin typeface="Cambria Math" panose="02040503050406030204" pitchFamily="18" charset="0"/>
                  <a:ea typeface="+mn-ea"/>
                  <a:cs typeface="+mn-cs"/>
                </a:rPr>
                <a:t>" 𝐹_𝑐 𝐴_𝑐𝑒</a:t>
              </a:r>
              <a:r>
                <a:rPr kumimoji="1" lang="en-US" altLang="ja-JP" sz="1100" i="0">
                  <a:solidFill>
                    <a:schemeClr val="tx1"/>
                  </a:solidFill>
                  <a:effectLst/>
                  <a:latin typeface="Cambria Math" panose="02040503050406030204" pitchFamily="18" charset="0"/>
                  <a:ea typeface="+mn-ea"/>
                  <a:cs typeface="+mn-cs"/>
                </a:rPr>
                <a:t>)/𝑤_0 </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 </a:t>
              </a:r>
              <a:r>
                <a:rPr kumimoji="1" lang="en-US" altLang="ja-JP" sz="1100" b="0" i="0">
                  <a:latin typeface="Cambria Math" panose="02040503050406030204" pitchFamily="18" charset="0"/>
                  <a:ea typeface="Cambria Math" panose="02040503050406030204" pitchFamily="18" charset="0"/>
                </a:rPr>
                <a:t>  </a:t>
              </a:r>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Fallback>
    </mc:AlternateContent>
    <xdr:clientData/>
  </xdr:oneCellAnchor>
  <xdr:oneCellAnchor>
    <xdr:from>
      <xdr:col>0</xdr:col>
      <xdr:colOff>255984</xdr:colOff>
      <xdr:row>135</xdr:row>
      <xdr:rowOff>123189</xdr:rowOff>
    </xdr:from>
    <xdr:ext cx="4625577" cy="830740"/>
    <mc:AlternateContent xmlns:mc="http://schemas.openxmlformats.org/markup-compatibility/2006" xmlns:a14="http://schemas.microsoft.com/office/drawing/2010/main">
      <mc:Choice Requires="a14">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255984" y="40204389"/>
              <a:ext cx="4625577" cy="830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ad>
                      <m:radPr>
                        <m:degHide m:val="on"/>
                        <m:ctrlPr>
                          <a:rPr kumimoji="1" lang="en-US" altLang="ja-JP" sz="1100" i="1">
                            <a:latin typeface="Cambria Math" panose="02040503050406030204" pitchFamily="18" charset="0"/>
                          </a:rPr>
                        </m:ctrlPr>
                      </m:radPr>
                      <m:deg/>
                      <m:e>
                        <m:f>
                          <m:fPr>
                            <m:ctrlPr>
                              <a:rPr kumimoji="1" lang="en-US" altLang="ja-JP" sz="1100" i="1">
                                <a:latin typeface="Cambria Math" panose="02040503050406030204" pitchFamily="18" charset="0"/>
                              </a:rPr>
                            </m:ctrlPr>
                          </m:fPr>
                          <m:num>
                            <m:sSub>
                              <m:sSubPr>
                                <m:ctrlPr>
                                  <a:rPr kumimoji="1" lang="en-US" altLang="ja-JP" sz="1100" i="1">
                                    <a:solidFill>
                                      <a:schemeClr val="tx1"/>
                                    </a:solidFill>
                                    <a:effectLst/>
                                    <a:latin typeface="Cambria Math" panose="02040503050406030204" pitchFamily="18" charset="0"/>
                                    <a:ea typeface="+mn-ea"/>
                                    <a:cs typeface="+mn-cs"/>
                                  </a:rPr>
                                </m:ctrlPr>
                              </m:sSubPr>
                              <m:e>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𝑊</m:t>
                                    </m:r>
                                  </m:e>
                                  <m:sub>
                                    <m:r>
                                      <a:rPr kumimoji="1" lang="en-US" altLang="ja-JP" sz="1100" i="1">
                                        <a:solidFill>
                                          <a:schemeClr val="tx1"/>
                                        </a:solidFill>
                                        <a:effectLst/>
                                        <a:latin typeface="Cambria Math" panose="02040503050406030204" pitchFamily="18" charset="0"/>
                                        <a:ea typeface="+mn-ea"/>
                                        <a:cs typeface="+mn-cs"/>
                                      </a:rPr>
                                      <m:t>𝑑</m:t>
                                    </m:r>
                                  </m:sub>
                                </m:sSub>
                                <m:r>
                                  <a:rPr kumimoji="1" lang="en-US" altLang="ja-JP" sz="1100" i="1">
                                    <a:solidFill>
                                      <a:schemeClr val="tx1"/>
                                    </a:solidFill>
                                    <a:effectLst/>
                                    <a:latin typeface="Cambria Math" panose="02040503050406030204" pitchFamily="18" charset="0"/>
                                    <a:ea typeface="+mn-ea"/>
                                    <a:cs typeface="+mn-cs"/>
                                  </a:rPr>
                                  <m:t>𝐴</m:t>
                                </m:r>
                              </m:e>
                              <m:sub>
                                <m:r>
                                  <a:rPr kumimoji="1" lang="en-US" altLang="ja-JP" sz="1100" b="0" i="1">
                                    <a:solidFill>
                                      <a:schemeClr val="tx1"/>
                                    </a:solidFill>
                                    <a:effectLst/>
                                    <a:latin typeface="Cambria Math" panose="02040503050406030204" pitchFamily="18" charset="0"/>
                                    <a:ea typeface="+mn-ea"/>
                                    <a:cs typeface="+mn-cs"/>
                                  </a:rPr>
                                  <m:t>𝑒</m:t>
                                </m:r>
                              </m:sub>
                            </m:sSub>
                          </m:num>
                          <m:den>
                            <m:d>
                              <m:dPr>
                                <m:ctrlPr>
                                  <a:rPr kumimoji="1" lang="en-US" altLang="ja-JP" sz="1100" i="1">
                                    <a:latin typeface="Cambria Math" panose="02040503050406030204" pitchFamily="18" charset="0"/>
                                  </a:rPr>
                                </m:ctrlPr>
                              </m:dPr>
                              <m:e>
                                <m:f>
                                  <m:fPr>
                                    <m:ctrlPr>
                                      <a:rPr kumimoji="1" lang="en-US" altLang="ja-JP" sz="1100" i="1">
                                        <a:latin typeface="Cambria Math" panose="02040503050406030204" pitchFamily="18" charset="0"/>
                                      </a:rPr>
                                    </m:ctrlPr>
                                  </m:fPr>
                                  <m:num>
                                    <m:r>
                                      <a:rPr kumimoji="1" lang="en-US" altLang="ja-JP" sz="1100" i="1">
                                        <a:latin typeface="Cambria Math" panose="02040503050406030204" pitchFamily="18" charset="0"/>
                                      </a:rPr>
                                      <m:t>1.1</m:t>
                                    </m:r>
                                  </m:num>
                                  <m:den>
                                    <m:r>
                                      <a:rPr kumimoji="1" lang="en-US" altLang="ja-JP" sz="1100" b="0" i="1">
                                        <a:latin typeface="Cambria Math" panose="02040503050406030204" pitchFamily="18" charset="0"/>
                                      </a:rPr>
                                      <m:t>3</m:t>
                                    </m:r>
                                  </m:den>
                                </m:f>
                                <m:sSub>
                                  <m:sSubPr>
                                    <m:ctrlPr>
                                      <a:rPr kumimoji="1" lang="en-US" altLang="ja-JP" sz="1100" i="1">
                                        <a:latin typeface="Cambria Math" panose="02040503050406030204" pitchFamily="18" charset="0"/>
                                      </a:rPr>
                                    </m:ctrlPr>
                                  </m:sSubPr>
                                  <m:e>
                                    <m:r>
                                      <a:rPr kumimoji="1" lang="en-US" altLang="ja-JP" sz="1100" b="0" i="1">
                                        <a:latin typeface="Cambria Math" panose="02040503050406030204" pitchFamily="18" charset="0"/>
                                      </a:rPr>
                                      <m:t>𝐹</m:t>
                                    </m:r>
                                  </m:e>
                                  <m:sub>
                                    <m:r>
                                      <a:rPr kumimoji="1" lang="en-US" altLang="ja-JP" sz="1100" b="0" i="1">
                                        <a:latin typeface="Cambria Math" panose="02040503050406030204" pitchFamily="18" charset="0"/>
                                      </a:rPr>
                                      <m:t>𝐶</m:t>
                                    </m:r>
                                  </m:sub>
                                </m:sSub>
                              </m:e>
                            </m:d>
                          </m:den>
                        </m:f>
                      </m:e>
                    </m:rad>
                    <m:r>
                      <a:rPr kumimoji="1" lang="en-US" altLang="ja-JP" sz="1100" i="1">
                        <a:latin typeface="Cambria Math" panose="02040503050406030204" pitchFamily="18" charset="0"/>
                        <a:ea typeface="Cambria Math" panose="02040503050406030204" pitchFamily="18" charset="0"/>
                      </a:rPr>
                      <m:t>≥</m:t>
                    </m:r>
                    <m:f>
                      <m:fPr>
                        <m:ctrlPr>
                          <a:rPr kumimoji="1" lang="en-US" altLang="ja-JP" sz="110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𝑙</m:t>
                        </m:r>
                      </m:num>
                      <m:den>
                        <m:r>
                          <a:rPr kumimoji="1" lang="en-US" altLang="ja-JP" sz="1100" b="0" i="1">
                            <a:latin typeface="Cambria Math" panose="02040503050406030204" pitchFamily="18" charset="0"/>
                            <a:ea typeface="Cambria Math" panose="02040503050406030204" pitchFamily="18" charset="0"/>
                          </a:rPr>
                          <m:t>8.66</m:t>
                        </m:r>
                      </m:den>
                    </m:f>
                    <m:d>
                      <m:dPr>
                        <m:ctrlPr>
                          <a:rPr kumimoji="1" lang="en-US" altLang="ja-JP" sz="1100" i="1">
                            <a:latin typeface="Cambria Math" panose="02040503050406030204" pitchFamily="18" charset="0"/>
                            <a:ea typeface="Cambria Math" panose="02040503050406030204" pitchFamily="18" charset="0"/>
                          </a:rPr>
                        </m:ctrlPr>
                      </m:dPr>
                      <m:e>
                        <m:r>
                          <a:rPr kumimoji="1" lang="en-US" altLang="ja-JP" sz="1100" b="0" i="1">
                            <a:latin typeface="Cambria Math" panose="02040503050406030204" pitchFamily="18" charset="0"/>
                            <a:ea typeface="Cambria Math" panose="02040503050406030204" pitchFamily="18" charset="0"/>
                          </a:rPr>
                          <m:t>=</m:t>
                        </m:r>
                        <m:f>
                          <m:fPr>
                            <m:ctrlPr>
                              <a:rPr kumimoji="1" lang="en-US" altLang="ja-JP" sz="1100" b="0" i="1">
                                <a:latin typeface="Cambria Math" panose="02040503050406030204" pitchFamily="18" charset="0"/>
                                <a:ea typeface="Cambria Math" panose="02040503050406030204" pitchFamily="18" charset="0"/>
                              </a:rPr>
                            </m:ctrlPr>
                          </m:fPr>
                          <m:num>
                            <m:sSub>
                              <m:sSubPr>
                                <m:ctrlPr>
                                  <a:rPr kumimoji="1" lang="en-US" altLang="ja-JP" sz="1100" b="0" i="1">
                                    <a:latin typeface="Cambria Math" panose="02040503050406030204" pitchFamily="18" charset="0"/>
                                    <a:ea typeface="Cambria Math" panose="02040503050406030204" pitchFamily="18" charset="0"/>
                                  </a:rPr>
                                </m:ctrlPr>
                              </m:sSubPr>
                              <m:e>
                                <m:r>
                                  <a:rPr kumimoji="1" lang="en-US" altLang="ja-JP" sz="1100" b="0" i="1">
                                    <a:latin typeface="Cambria Math" panose="02040503050406030204" pitchFamily="18" charset="0"/>
                                    <a:ea typeface="Cambria Math" panose="02040503050406030204" pitchFamily="18" charset="0"/>
                                  </a:rPr>
                                  <m:t>𝑑</m:t>
                                </m:r>
                              </m:e>
                              <m:sub>
                                <m:r>
                                  <a:rPr kumimoji="1" lang="en-US" altLang="ja-JP" sz="1100" b="0" i="1">
                                    <a:latin typeface="Cambria Math" panose="02040503050406030204" pitchFamily="18" charset="0"/>
                                    <a:ea typeface="Cambria Math" panose="02040503050406030204" pitchFamily="18" charset="0"/>
                                  </a:rPr>
                                  <m:t>𝑒</m:t>
                                </m:r>
                              </m:sub>
                            </m:sSub>
                          </m:num>
                          <m:den>
                            <m:r>
                              <a:rPr kumimoji="1" lang="en-US" altLang="ja-JP" sz="1100" b="0" i="1">
                                <a:latin typeface="Cambria Math" panose="02040503050406030204" pitchFamily="18" charset="0"/>
                                <a:ea typeface="Cambria Math" panose="02040503050406030204" pitchFamily="18" charset="0"/>
                              </a:rPr>
                              <m:t>𝑙</m:t>
                            </m:r>
                          </m:den>
                        </m:f>
                        <m:r>
                          <a:rPr kumimoji="1" lang="en-US" altLang="ja-JP" sz="1100" b="0" i="1">
                            <a:latin typeface="Cambria Math" panose="02040503050406030204" pitchFamily="18" charset="0"/>
                            <a:ea typeface="Cambria Math" panose="02040503050406030204" pitchFamily="18" charset="0"/>
                          </a:rPr>
                          <m:t>≥</m:t>
                        </m:r>
                        <m:f>
                          <m:fPr>
                            <m:ctrlPr>
                              <a:rPr kumimoji="1" lang="en-US" altLang="ja-JP" sz="1100" b="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1</m:t>
                            </m:r>
                          </m:num>
                          <m:den>
                            <m:r>
                              <a:rPr kumimoji="1" lang="en-US" altLang="ja-JP" sz="1100" b="0" i="1">
                                <a:latin typeface="Cambria Math" panose="02040503050406030204" pitchFamily="18" charset="0"/>
                                <a:ea typeface="Cambria Math" panose="02040503050406030204" pitchFamily="18" charset="0"/>
                              </a:rPr>
                              <m:t>8.66</m:t>
                            </m:r>
                          </m:den>
                        </m:f>
                      </m:e>
                    </m:d>
                    <m:r>
                      <a:rPr kumimoji="1" lang="en-US" altLang="ja-JP" sz="1100" b="0" i="1">
                        <a:latin typeface="Cambria Math" panose="02040503050406030204" pitchFamily="18" charset="0"/>
                        <a:ea typeface="Cambria Math" panose="02040503050406030204" pitchFamily="18" charset="0"/>
                      </a:rPr>
                      <m:t>  :         </m:t>
                    </m:r>
                    <m:r>
                      <a:rPr kumimoji="1" lang="ja-JP" altLang="en-US" sz="1100" b="0" i="1">
                        <a:latin typeface="Cambria Math" panose="02040503050406030204" pitchFamily="18" charset="0"/>
                        <a:ea typeface="Cambria Math" panose="02040503050406030204" pitchFamily="18" charset="0"/>
                      </a:rPr>
                      <m:t>　　　　　</m:t>
                    </m:r>
                    <m:r>
                      <a:rPr kumimoji="1" lang="en-US" altLang="ja-JP" sz="1100" b="0" i="1">
                        <a:latin typeface="Cambria Math" panose="02040503050406030204" pitchFamily="18" charset="0"/>
                        <a:ea typeface="Cambria Math" panose="02040503050406030204" pitchFamily="18" charset="0"/>
                      </a:rPr>
                      <m:t>           </m:t>
                    </m:r>
                    <m:sSub>
                      <m:sSubPr>
                        <m:ctrlPr>
                          <a:rPr kumimoji="1" lang="en-US" altLang="ja-JP" sz="1100" b="0" i="1">
                            <a:latin typeface="Cambria Math" panose="02040503050406030204" pitchFamily="18" charset="0"/>
                            <a:ea typeface="Cambria Math" panose="02040503050406030204" pitchFamily="18" charset="0"/>
                          </a:rPr>
                        </m:ctrlPr>
                      </m:sSubPr>
                      <m:e>
                        <m:r>
                          <a:rPr kumimoji="1" lang="en-US" altLang="ja-JP" sz="1100" b="0" i="1">
                            <a:latin typeface="Cambria Math" panose="02040503050406030204" pitchFamily="18" charset="0"/>
                            <a:ea typeface="Cambria Math" panose="02040503050406030204" pitchFamily="18" charset="0"/>
                          </a:rPr>
                          <m:t>𝑑</m:t>
                        </m:r>
                      </m:e>
                      <m:sub>
                        <m:r>
                          <a:rPr kumimoji="1" lang="en-US" altLang="ja-JP" sz="1100" b="0" i="1">
                            <a:latin typeface="Cambria Math" panose="02040503050406030204" pitchFamily="18" charset="0"/>
                            <a:ea typeface="Cambria Math" panose="02040503050406030204" pitchFamily="18" charset="0"/>
                          </a:rPr>
                          <m:t>𝑏𝑒</m:t>
                        </m:r>
                      </m:sub>
                    </m:sSub>
                    <m:r>
                      <a:rPr kumimoji="1" lang="en-US" altLang="ja-JP" sz="1100" b="0" i="1">
                        <a:latin typeface="Cambria Math" panose="02040503050406030204" pitchFamily="18" charset="0"/>
                        <a:ea typeface="Cambria Math" panose="02040503050406030204" pitchFamily="18" charset="0"/>
                      </a:rPr>
                      <m:t>=</m:t>
                    </m:r>
                    <m:rad>
                      <m:radPr>
                        <m:degHide m:val="on"/>
                        <m:ctrlPr>
                          <a:rPr kumimoji="1" lang="en-US" altLang="ja-JP" sz="1100" i="1">
                            <a:solidFill>
                              <a:schemeClr val="tx1"/>
                            </a:solidFill>
                            <a:effectLst/>
                            <a:latin typeface="Cambria Math" panose="02040503050406030204" pitchFamily="18" charset="0"/>
                            <a:ea typeface="+mn-ea"/>
                            <a:cs typeface="+mn-cs"/>
                          </a:rPr>
                        </m:ctrlPr>
                      </m:radPr>
                      <m:deg/>
                      <m:e>
                        <m:f>
                          <m:fPr>
                            <m:ctrlPr>
                              <a:rPr kumimoji="1" lang="en-US" altLang="ja-JP" sz="1100" i="1">
                                <a:solidFill>
                                  <a:schemeClr val="tx1"/>
                                </a:solidFill>
                                <a:effectLst/>
                                <a:latin typeface="Cambria Math" panose="02040503050406030204" pitchFamily="18" charset="0"/>
                                <a:ea typeface="+mn-ea"/>
                                <a:cs typeface="+mn-cs"/>
                              </a:rPr>
                            </m:ctrlPr>
                          </m:fPr>
                          <m:num>
                            <m:sSub>
                              <m:sSubPr>
                                <m:ctrlPr>
                                  <a:rPr kumimoji="1" lang="en-US" altLang="ja-JP" sz="1100" i="1">
                                    <a:solidFill>
                                      <a:schemeClr val="tx1"/>
                                    </a:solidFill>
                                    <a:effectLst/>
                                    <a:latin typeface="Cambria Math" panose="02040503050406030204" pitchFamily="18" charset="0"/>
                                    <a:ea typeface="+mn-ea"/>
                                    <a:cs typeface="+mn-cs"/>
                                  </a:rPr>
                                </m:ctrlPr>
                              </m:sSubPr>
                              <m:e>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𝑊</m:t>
                                    </m:r>
                                  </m:e>
                                  <m:sub>
                                    <m:r>
                                      <a:rPr kumimoji="1" lang="en-US" altLang="ja-JP" sz="1100" i="1">
                                        <a:solidFill>
                                          <a:schemeClr val="tx1"/>
                                        </a:solidFill>
                                        <a:effectLst/>
                                        <a:latin typeface="Cambria Math" panose="02040503050406030204" pitchFamily="18" charset="0"/>
                                        <a:ea typeface="+mn-ea"/>
                                        <a:cs typeface="+mn-cs"/>
                                      </a:rPr>
                                      <m:t>𝑑</m:t>
                                    </m:r>
                                  </m:sub>
                                </m:sSub>
                                <m:r>
                                  <a:rPr kumimoji="1" lang="en-US" altLang="ja-JP" sz="1100" i="1">
                                    <a:solidFill>
                                      <a:schemeClr val="tx1"/>
                                    </a:solidFill>
                                    <a:effectLst/>
                                    <a:latin typeface="Cambria Math" panose="02040503050406030204" pitchFamily="18" charset="0"/>
                                    <a:ea typeface="+mn-ea"/>
                                    <a:cs typeface="+mn-cs"/>
                                  </a:rPr>
                                  <m:t>𝐴</m:t>
                                </m:r>
                              </m:e>
                              <m:sub>
                                <m:r>
                                  <a:rPr kumimoji="1" lang="en-US" altLang="ja-JP" sz="1100" b="0" i="1">
                                    <a:solidFill>
                                      <a:schemeClr val="tx1"/>
                                    </a:solidFill>
                                    <a:effectLst/>
                                    <a:latin typeface="Cambria Math" panose="02040503050406030204" pitchFamily="18" charset="0"/>
                                    <a:ea typeface="+mn-ea"/>
                                    <a:cs typeface="+mn-cs"/>
                                  </a:rPr>
                                  <m:t>𝑒</m:t>
                                </m:r>
                              </m:sub>
                            </m:sSub>
                          </m:num>
                          <m:den>
                            <m:d>
                              <m:dPr>
                                <m:ctrlPr>
                                  <a:rPr kumimoji="1" lang="en-US" altLang="ja-JP" sz="1100" i="1">
                                    <a:solidFill>
                                      <a:schemeClr val="tx1"/>
                                    </a:solidFill>
                                    <a:effectLst/>
                                    <a:latin typeface="Cambria Math" panose="02040503050406030204" pitchFamily="18" charset="0"/>
                                    <a:ea typeface="+mn-ea"/>
                                    <a:cs typeface="+mn-cs"/>
                                  </a:rPr>
                                </m:ctrlPr>
                              </m:dPr>
                              <m:e>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1.1</m:t>
                                    </m:r>
                                  </m:num>
                                  <m:den>
                                    <m:r>
                                      <a:rPr kumimoji="1" lang="en-US" altLang="ja-JP" sz="1100" b="0" i="1">
                                        <a:solidFill>
                                          <a:schemeClr val="tx1"/>
                                        </a:solidFill>
                                        <a:effectLst/>
                                        <a:latin typeface="Cambria Math" panose="02040503050406030204" pitchFamily="18" charset="0"/>
                                        <a:ea typeface="+mn-ea"/>
                                        <a:cs typeface="+mn-cs"/>
                                      </a:rPr>
                                      <m:t>3</m:t>
                                    </m:r>
                                  </m:den>
                                </m:f>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𝐹</m:t>
                                    </m:r>
                                  </m:e>
                                  <m:sub>
                                    <m:r>
                                      <a:rPr kumimoji="1" lang="en-US" altLang="ja-JP" sz="1100" b="0" i="1">
                                        <a:solidFill>
                                          <a:schemeClr val="tx1"/>
                                        </a:solidFill>
                                        <a:effectLst/>
                                        <a:latin typeface="Cambria Math" panose="02040503050406030204" pitchFamily="18" charset="0"/>
                                        <a:ea typeface="+mn-ea"/>
                                        <a:cs typeface="+mn-cs"/>
                                      </a:rPr>
                                      <m:t>𝐶</m:t>
                                    </m:r>
                                  </m:sub>
                                </m:sSub>
                              </m:e>
                            </m:d>
                          </m:den>
                        </m:f>
                      </m:e>
                    </m:rad>
                  </m:oMath>
                </m:oMathPara>
              </a14:m>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Choice>
      <mc:Fallback xmlns="">
        <xdr:sp macro="" textlink="">
          <xdr:nvSpPr>
            <xdr:cNvPr id="12" name="テキスト ボックス 11">
              <a:extLst>
                <a:ext uri="{FF2B5EF4-FFF2-40B4-BE49-F238E27FC236}">
                  <a16:creationId xmlns:a16="http://schemas.microsoft.com/office/drawing/2014/main" id="{F2E3C466-282D-47BA-8466-72F3F1BC9E0E}"/>
                </a:ext>
              </a:extLst>
            </xdr:cNvPr>
            <xdr:cNvSpPr txBox="1"/>
          </xdr:nvSpPr>
          <xdr:spPr>
            <a:xfrm>
              <a:off x="255984" y="40204389"/>
              <a:ext cx="4625577" cy="830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r>
                <a:rPr kumimoji="1" lang="en-US" altLang="ja-JP" sz="1100" i="0">
                  <a:latin typeface="Cambria Math" panose="02040503050406030204" pitchFamily="18" charset="0"/>
                </a:rPr>
                <a:t>√(</a:t>
              </a:r>
              <a:r>
                <a:rPr kumimoji="1" lang="en-US" altLang="ja-JP" sz="1100" i="0">
                  <a:solidFill>
                    <a:schemeClr val="tx1"/>
                  </a:solidFill>
                  <a:effectLst/>
                  <a:latin typeface="Cambria Math" panose="02040503050406030204" pitchFamily="18" charset="0"/>
                  <a:ea typeface="+mn-ea"/>
                  <a:cs typeface="+mn-cs"/>
                </a:rPr>
                <a:t>〖𝑊_𝑑 𝐴〗_</a:t>
              </a:r>
              <a:r>
                <a:rPr kumimoji="1" lang="en-US" altLang="ja-JP" sz="1100" b="0" i="0">
                  <a:solidFill>
                    <a:schemeClr val="tx1"/>
                  </a:solidFill>
                  <a:effectLst/>
                  <a:latin typeface="Cambria Math" panose="02040503050406030204" pitchFamily="18" charset="0"/>
                  <a:ea typeface="+mn-ea"/>
                  <a:cs typeface="+mn-cs"/>
                </a:rPr>
                <a:t>𝑒/((</a:t>
              </a:r>
              <a:r>
                <a:rPr kumimoji="1" lang="en-US" altLang="ja-JP" sz="1100" i="0">
                  <a:latin typeface="Cambria Math" panose="02040503050406030204" pitchFamily="18" charset="0"/>
                </a:rPr>
                <a:t>1.1/</a:t>
              </a:r>
              <a:r>
                <a:rPr kumimoji="1" lang="en-US" altLang="ja-JP" sz="1100" b="0" i="0">
                  <a:latin typeface="Cambria Math" panose="02040503050406030204" pitchFamily="18" charset="0"/>
                </a:rPr>
                <a:t>3 𝐹_𝐶 ) ))</a:t>
              </a:r>
              <a:r>
                <a:rPr kumimoji="1" lang="en-US" altLang="ja-JP" sz="1100" i="0">
                  <a:latin typeface="Cambria Math" panose="02040503050406030204" pitchFamily="18" charset="0"/>
                  <a:ea typeface="Cambria Math" panose="02040503050406030204" pitchFamily="18" charset="0"/>
                </a:rPr>
                <a:t>≥</a:t>
              </a:r>
              <a:r>
                <a:rPr kumimoji="1" lang="en-US" altLang="ja-JP" sz="1100" b="0" i="0">
                  <a:latin typeface="Cambria Math" panose="02040503050406030204" pitchFamily="18" charset="0"/>
                  <a:ea typeface="Cambria Math" panose="02040503050406030204" pitchFamily="18" charset="0"/>
                </a:rPr>
                <a:t>𝑙/8.66 </a:t>
              </a:r>
              <a:r>
                <a:rPr kumimoji="1" lang="en-US" altLang="ja-JP" sz="1100" i="0">
                  <a:latin typeface="Cambria Math" panose="02040503050406030204" pitchFamily="18" charset="0"/>
                  <a:ea typeface="Cambria Math" panose="02040503050406030204" pitchFamily="18" charset="0"/>
                </a:rPr>
                <a:t>(</a:t>
              </a:r>
              <a:r>
                <a:rPr kumimoji="1" lang="en-US" altLang="ja-JP" sz="1100" b="0" i="0">
                  <a:latin typeface="Cambria Math" panose="02040503050406030204" pitchFamily="18" charset="0"/>
                  <a:ea typeface="Cambria Math" panose="02040503050406030204" pitchFamily="18" charset="0"/>
                </a:rPr>
                <a:t>=𝑑_𝑒/𝑙≥1/8.66)   :         </a:t>
              </a:r>
              <a:r>
                <a:rPr kumimoji="1" lang="ja-JP" altLang="en-US"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Cambria Math" panose="02040503050406030204" pitchFamily="18" charset="0"/>
                </a:rPr>
                <a:t>           𝑑_𝑏𝑒=</a:t>
              </a:r>
              <a:r>
                <a:rPr kumimoji="1" lang="en-US" altLang="ja-JP" sz="1100" i="0">
                  <a:solidFill>
                    <a:schemeClr val="tx1"/>
                  </a:solidFill>
                  <a:effectLst/>
                  <a:latin typeface="Cambria Math" panose="02040503050406030204" pitchFamily="18" charset="0"/>
                  <a:ea typeface="+mn-ea"/>
                  <a:cs typeface="+mn-cs"/>
                </a:rPr>
                <a:t>√(〖𝑊_𝑑 𝐴〗_</a:t>
              </a:r>
              <a:r>
                <a:rPr kumimoji="1" lang="en-US" altLang="ja-JP" sz="1100" b="0" i="0">
                  <a:solidFill>
                    <a:schemeClr val="tx1"/>
                  </a:solidFill>
                  <a:effectLst/>
                  <a:latin typeface="Cambria Math" panose="02040503050406030204" pitchFamily="18" charset="0"/>
                  <a:ea typeface="+mn-ea"/>
                  <a:cs typeface="+mn-cs"/>
                </a:rPr>
                <a:t>𝑒/((</a:t>
              </a:r>
              <a:r>
                <a:rPr kumimoji="1" lang="en-US" altLang="ja-JP" sz="1100" i="0">
                  <a:solidFill>
                    <a:schemeClr val="tx1"/>
                  </a:solidFill>
                  <a:effectLst/>
                  <a:latin typeface="Cambria Math" panose="02040503050406030204" pitchFamily="18" charset="0"/>
                  <a:ea typeface="+mn-ea"/>
                  <a:cs typeface="+mn-cs"/>
                </a:rPr>
                <a:t>1.1/</a:t>
              </a:r>
              <a:r>
                <a:rPr kumimoji="1" lang="en-US" altLang="ja-JP" sz="1100" b="0" i="0">
                  <a:solidFill>
                    <a:schemeClr val="tx1"/>
                  </a:solidFill>
                  <a:effectLst/>
                  <a:latin typeface="Cambria Math" panose="02040503050406030204" pitchFamily="18" charset="0"/>
                  <a:ea typeface="+mn-ea"/>
                  <a:cs typeface="+mn-cs"/>
                </a:rPr>
                <a:t>3 𝐹_𝐶 ) ))</a:t>
              </a:r>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Fallback>
    </mc:AlternateContent>
    <xdr:clientData/>
  </xdr:oneCellAnchor>
  <xdr:oneCellAnchor>
    <xdr:from>
      <xdr:col>0</xdr:col>
      <xdr:colOff>281939</xdr:colOff>
      <xdr:row>138</xdr:row>
      <xdr:rowOff>99061</xdr:rowOff>
    </xdr:from>
    <xdr:ext cx="6177201" cy="1097279"/>
    <mc:AlternateContent xmlns:mc="http://schemas.openxmlformats.org/markup-compatibility/2006" xmlns:a14="http://schemas.microsoft.com/office/drawing/2010/main">
      <mc:Choice Requires="a14">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281939" y="40894636"/>
              <a:ext cx="6177201" cy="10972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l"/>
              <a:endParaRPr kumimoji="1" lang="en-US" altLang="ja-JP" sz="1100" b="0">
                <a:ea typeface="Cambria Math" panose="02040503050406030204" pitchFamily="18" charset="0"/>
              </a:endParaRPr>
            </a:p>
            <a:p>
              <a:pPr algn="l"/>
              <a14:m>
                <m:oMathPara xmlns:m="http://schemas.openxmlformats.org/officeDocument/2006/math">
                  <m:oMathParaPr>
                    <m:jc m:val="centerGroup"/>
                  </m:oMathParaPr>
                  <m:oMath xmlns:m="http://schemas.openxmlformats.org/officeDocument/2006/math">
                    <m:f>
                      <m:fPr>
                        <m:ctrlPr>
                          <a:rPr kumimoji="1" lang="en-US" altLang="ja-JP" sz="1100" i="1">
                            <a:solidFill>
                              <a:schemeClr val="tx1"/>
                            </a:solidFill>
                            <a:effectLst/>
                            <a:latin typeface="Cambria Math" panose="02040503050406030204" pitchFamily="18" charset="0"/>
                            <a:ea typeface="Cambria Math" panose="02040503050406030204" pitchFamily="18" charset="0"/>
                            <a:cs typeface="+mn-cs"/>
                          </a:rPr>
                        </m:ctrlPr>
                      </m:fPr>
                      <m:num>
                        <m:r>
                          <a:rPr kumimoji="1" lang="en-US" altLang="ja-JP" sz="1100" b="0" i="1">
                            <a:solidFill>
                              <a:schemeClr val="tx1"/>
                            </a:solidFill>
                            <a:effectLst/>
                            <a:latin typeface="Cambria Math" panose="02040503050406030204" pitchFamily="18" charset="0"/>
                            <a:ea typeface="Cambria Math" panose="02040503050406030204" pitchFamily="18" charset="0"/>
                            <a:cs typeface="+mn-cs"/>
                          </a:rPr>
                          <m:t>𝑙</m:t>
                        </m:r>
                      </m:num>
                      <m:den>
                        <m:r>
                          <a:rPr kumimoji="1" lang="en-US" altLang="ja-JP" sz="1100" b="0" i="1">
                            <a:solidFill>
                              <a:schemeClr val="tx1"/>
                            </a:solidFill>
                            <a:effectLst/>
                            <a:latin typeface="Cambria Math" panose="02040503050406030204" pitchFamily="18" charset="0"/>
                            <a:ea typeface="Cambria Math" panose="02040503050406030204" pitchFamily="18" charset="0"/>
                            <a:cs typeface="+mn-cs"/>
                          </a:rPr>
                          <m:t>52.70</m:t>
                        </m:r>
                      </m:den>
                    </m:f>
                    <m:r>
                      <a:rPr kumimoji="1" lang="en-US" altLang="ja-JP" sz="1100" i="1">
                        <a:solidFill>
                          <a:schemeClr val="tx1"/>
                        </a:solidFill>
                        <a:effectLst/>
                        <a:latin typeface="Cambria Math" panose="02040503050406030204" pitchFamily="18" charset="0"/>
                        <a:ea typeface="Cambria Math" panose="02040503050406030204" pitchFamily="18" charset="0"/>
                        <a:cs typeface="+mn-cs"/>
                      </a:rPr>
                      <m:t>≤</m:t>
                    </m:r>
                    <m:rad>
                      <m:radPr>
                        <m:degHide m:val="on"/>
                        <m:ctrlPr>
                          <a:rPr kumimoji="1" lang="en-US" altLang="ja-JP" sz="1100" i="1">
                            <a:solidFill>
                              <a:schemeClr val="tx1"/>
                            </a:solidFill>
                            <a:effectLst/>
                            <a:latin typeface="Cambria Math" panose="02040503050406030204" pitchFamily="18" charset="0"/>
                            <a:ea typeface="+mn-ea"/>
                            <a:cs typeface="+mn-cs"/>
                          </a:rPr>
                        </m:ctrlPr>
                      </m:radPr>
                      <m:deg/>
                      <m:e>
                        <m:f>
                          <m:fPr>
                            <m:ctrlPr>
                              <a:rPr kumimoji="1" lang="en-US" altLang="ja-JP" sz="1100" i="1">
                                <a:solidFill>
                                  <a:schemeClr val="tx1"/>
                                </a:solidFill>
                                <a:effectLst/>
                                <a:latin typeface="Cambria Math" panose="02040503050406030204" pitchFamily="18" charset="0"/>
                                <a:ea typeface="+mn-ea"/>
                                <a:cs typeface="+mn-cs"/>
                              </a:rPr>
                            </m:ctrlPr>
                          </m:fPr>
                          <m:num>
                            <m:sSub>
                              <m:sSubPr>
                                <m:ctrlPr>
                                  <a:rPr kumimoji="1" lang="en-US" altLang="ja-JP" sz="1100" i="1">
                                    <a:solidFill>
                                      <a:schemeClr val="tx1"/>
                                    </a:solidFill>
                                    <a:effectLst/>
                                    <a:latin typeface="Cambria Math" panose="02040503050406030204" pitchFamily="18" charset="0"/>
                                    <a:ea typeface="+mn-ea"/>
                                    <a:cs typeface="+mn-cs"/>
                                  </a:rPr>
                                </m:ctrlPr>
                              </m:sSubPr>
                              <m:e>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𝑊</m:t>
                                    </m:r>
                                  </m:e>
                                  <m:sub>
                                    <m:r>
                                      <a:rPr kumimoji="1" lang="en-US" altLang="ja-JP" sz="1100" i="1">
                                        <a:solidFill>
                                          <a:schemeClr val="tx1"/>
                                        </a:solidFill>
                                        <a:effectLst/>
                                        <a:latin typeface="Cambria Math" panose="02040503050406030204" pitchFamily="18" charset="0"/>
                                        <a:ea typeface="+mn-ea"/>
                                        <a:cs typeface="+mn-cs"/>
                                      </a:rPr>
                                      <m:t>𝑑</m:t>
                                    </m:r>
                                  </m:sub>
                                </m:sSub>
                                <m:r>
                                  <a:rPr kumimoji="1" lang="en-US" altLang="ja-JP" sz="1100" i="1">
                                    <a:solidFill>
                                      <a:schemeClr val="tx1"/>
                                    </a:solidFill>
                                    <a:effectLst/>
                                    <a:latin typeface="Cambria Math" panose="02040503050406030204" pitchFamily="18" charset="0"/>
                                    <a:ea typeface="+mn-ea"/>
                                    <a:cs typeface="+mn-cs"/>
                                  </a:rPr>
                                  <m:t>𝐴</m:t>
                                </m:r>
                              </m:e>
                              <m:sub>
                                <m:r>
                                  <a:rPr kumimoji="1" lang="en-US" altLang="ja-JP" sz="1100" b="0" i="1">
                                    <a:solidFill>
                                      <a:schemeClr val="tx1"/>
                                    </a:solidFill>
                                    <a:effectLst/>
                                    <a:latin typeface="Cambria Math" panose="02040503050406030204" pitchFamily="18" charset="0"/>
                                    <a:ea typeface="+mn-ea"/>
                                    <a:cs typeface="+mn-cs"/>
                                  </a:rPr>
                                  <m:t>𝑒</m:t>
                                </m:r>
                              </m:sub>
                            </m:sSub>
                          </m:num>
                          <m:den>
                            <m:d>
                              <m:dPr>
                                <m:ctrlPr>
                                  <a:rPr kumimoji="1" lang="en-US" altLang="ja-JP" sz="1100" i="1">
                                    <a:solidFill>
                                      <a:schemeClr val="tx1"/>
                                    </a:solidFill>
                                    <a:effectLst/>
                                    <a:latin typeface="Cambria Math" panose="02040503050406030204" pitchFamily="18" charset="0"/>
                                    <a:ea typeface="+mn-ea"/>
                                    <a:cs typeface="+mn-cs"/>
                                  </a:rPr>
                                </m:ctrlPr>
                              </m:dPr>
                              <m:e>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1.1</m:t>
                                    </m:r>
                                  </m:num>
                                  <m:den>
                                    <m:r>
                                      <a:rPr kumimoji="1" lang="en-US" altLang="ja-JP" sz="1100" b="0" i="1">
                                        <a:solidFill>
                                          <a:schemeClr val="tx1"/>
                                        </a:solidFill>
                                        <a:effectLst/>
                                        <a:latin typeface="Cambria Math" panose="02040503050406030204" pitchFamily="18" charset="0"/>
                                        <a:ea typeface="+mn-ea"/>
                                        <a:cs typeface="+mn-cs"/>
                                      </a:rPr>
                                      <m:t>3</m:t>
                                    </m:r>
                                  </m:den>
                                </m:f>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𝐹</m:t>
                                    </m:r>
                                  </m:e>
                                  <m:sub>
                                    <m:r>
                                      <a:rPr kumimoji="1" lang="en-US" altLang="ja-JP" sz="1100" b="0" i="1">
                                        <a:solidFill>
                                          <a:schemeClr val="tx1"/>
                                        </a:solidFill>
                                        <a:effectLst/>
                                        <a:latin typeface="Cambria Math" panose="02040503050406030204" pitchFamily="18" charset="0"/>
                                        <a:ea typeface="+mn-ea"/>
                                        <a:cs typeface="+mn-cs"/>
                                      </a:rPr>
                                      <m:t>𝐶</m:t>
                                    </m:r>
                                  </m:sub>
                                </m:sSub>
                              </m:e>
                            </m:d>
                          </m:den>
                        </m:f>
                      </m:e>
                    </m:rad>
                    <m:r>
                      <a:rPr kumimoji="1" lang="ja-JP" altLang="en-US" sz="1100" b="0" i="1">
                        <a:solidFill>
                          <a:schemeClr val="tx1"/>
                        </a:solidFill>
                        <a:effectLst/>
                        <a:latin typeface="Cambria Math" panose="02040503050406030204" pitchFamily="18" charset="0"/>
                        <a:ea typeface="+mn-ea"/>
                        <a:cs typeface="+mn-cs"/>
                      </a:rPr>
                      <m:t>＜</m:t>
                    </m:r>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𝑙</m:t>
                        </m:r>
                      </m:num>
                      <m:den>
                        <m:r>
                          <a:rPr kumimoji="1" lang="en-US" altLang="ja-JP" sz="1100" b="0" i="1">
                            <a:solidFill>
                              <a:schemeClr val="tx1"/>
                            </a:solidFill>
                            <a:effectLst/>
                            <a:latin typeface="Cambria Math" panose="02040503050406030204" pitchFamily="18" charset="0"/>
                            <a:ea typeface="+mn-ea"/>
                            <a:cs typeface="+mn-cs"/>
                          </a:rPr>
                          <m:t>8.66</m:t>
                        </m:r>
                      </m:den>
                    </m:f>
                    <m:d>
                      <m:dPr>
                        <m:ctrlPr>
                          <a:rPr kumimoji="1" lang="en-US" altLang="ja-JP" sz="110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1</m:t>
                            </m:r>
                          </m:num>
                          <m:den>
                            <m:r>
                              <a:rPr kumimoji="1" lang="en-US" altLang="ja-JP" sz="1100" b="0" i="1">
                                <a:solidFill>
                                  <a:schemeClr val="tx1"/>
                                </a:solidFill>
                                <a:effectLst/>
                                <a:latin typeface="Cambria Math" panose="02040503050406030204" pitchFamily="18" charset="0"/>
                                <a:ea typeface="+mn-ea"/>
                                <a:cs typeface="+mn-cs"/>
                              </a:rPr>
                              <m:t>28.87</m:t>
                            </m:r>
                          </m:den>
                        </m:f>
                        <m:r>
                          <a:rPr kumimoji="1" lang="en-US" altLang="ja-JP" sz="1100" b="0" i="1">
                            <a:solidFill>
                              <a:schemeClr val="tx1"/>
                            </a:solidFill>
                            <a:effectLst/>
                            <a:latin typeface="Cambria Math" panose="02040503050406030204" pitchFamily="18" charset="0"/>
                            <a:ea typeface="Cambria Math" panose="02040503050406030204" pitchFamily="18" charset="0"/>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𝑑</m:t>
                                </m:r>
                              </m:e>
                              <m:sub>
                                <m:r>
                                  <a:rPr kumimoji="1" lang="en-US" altLang="ja-JP" sz="1100" b="0" i="1">
                                    <a:solidFill>
                                      <a:schemeClr val="tx1"/>
                                    </a:solidFill>
                                    <a:effectLst/>
                                    <a:latin typeface="Cambria Math" panose="02040503050406030204" pitchFamily="18" charset="0"/>
                                    <a:ea typeface="+mn-ea"/>
                                    <a:cs typeface="+mn-cs"/>
                                  </a:rPr>
                                  <m:t>𝑒</m:t>
                                </m:r>
                              </m:sub>
                            </m:sSub>
                          </m:num>
                          <m:den>
                            <m:r>
                              <a:rPr kumimoji="1" lang="en-US" altLang="ja-JP" sz="1100" b="0" i="1">
                                <a:solidFill>
                                  <a:schemeClr val="tx1"/>
                                </a:solidFill>
                                <a:effectLst/>
                                <a:latin typeface="Cambria Math" panose="02040503050406030204" pitchFamily="18" charset="0"/>
                                <a:ea typeface="+mn-ea"/>
                                <a:cs typeface="+mn-cs"/>
                              </a:rPr>
                              <m:t>𝑙</m:t>
                            </m:r>
                          </m:den>
                        </m:f>
                        <m:r>
                          <a:rPr kumimoji="1" lang="ja-JP" altLang="en-US" sz="1100" b="0" i="1">
                            <a:solidFill>
                              <a:schemeClr val="tx1"/>
                            </a:solidFill>
                            <a:effectLst/>
                            <a:latin typeface="Cambria Math" panose="02040503050406030204" pitchFamily="18" charset="0"/>
                            <a:ea typeface="+mn-ea"/>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1</m:t>
                            </m:r>
                          </m:num>
                          <m:den>
                            <m:r>
                              <a:rPr kumimoji="1" lang="en-US" altLang="ja-JP" sz="1100" b="0" i="1">
                                <a:solidFill>
                                  <a:schemeClr val="tx1"/>
                                </a:solidFill>
                                <a:effectLst/>
                                <a:latin typeface="Cambria Math" panose="02040503050406030204" pitchFamily="18" charset="0"/>
                                <a:ea typeface="+mn-ea"/>
                                <a:cs typeface="+mn-cs"/>
                              </a:rPr>
                              <m:t>8.66</m:t>
                            </m:r>
                          </m:den>
                        </m:f>
                      </m:e>
                    </m:d>
                    <m:r>
                      <a:rPr kumimoji="1" lang="en-US" altLang="ja-JP" sz="1100" b="0" i="1">
                        <a:solidFill>
                          <a:schemeClr val="tx1"/>
                        </a:solidFill>
                        <a:effectLst/>
                        <a:latin typeface="Cambria Math" panose="02040503050406030204" pitchFamily="18" charset="0"/>
                        <a:ea typeface="+mn-ea"/>
                        <a:cs typeface="+mn-cs"/>
                      </a:rPr>
                      <m:t>  : </m:t>
                    </m:r>
                    <m:r>
                      <a:rPr kumimoji="1" lang="ja-JP" altLang="en-US" sz="1100" b="0" i="1">
                        <a:solidFill>
                          <a:schemeClr val="tx1"/>
                        </a:solidFill>
                        <a:effectLst/>
                        <a:latin typeface="Cambria Math" panose="02040503050406030204" pitchFamily="18" charset="0"/>
                        <a:ea typeface="+mn-ea"/>
                        <a:cs typeface="+mn-cs"/>
                      </a:rPr>
                      <m:t>　　</m:t>
                    </m:r>
                    <m:r>
                      <a:rPr kumimoji="1" lang="en-US" altLang="ja-JP" sz="1100" b="0" i="1">
                        <a:solidFill>
                          <a:schemeClr val="tx1"/>
                        </a:solidFill>
                        <a:effectLst/>
                        <a:latin typeface="Cambria Math" panose="02040503050406030204" pitchFamily="18" charset="0"/>
                        <a:ea typeface="+mn-ea"/>
                        <a:cs typeface="+mn-cs"/>
                      </a:rPr>
                      <m:t> </m:t>
                    </m:r>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𝑑</m:t>
                        </m:r>
                      </m:e>
                      <m:sub>
                        <m:r>
                          <a:rPr kumimoji="1" lang="en-US" altLang="ja-JP" sz="1100" b="0" i="1">
                            <a:solidFill>
                              <a:schemeClr val="tx1"/>
                            </a:solidFill>
                            <a:effectLst/>
                            <a:latin typeface="Cambria Math" panose="02040503050406030204" pitchFamily="18" charset="0"/>
                            <a:ea typeface="+mn-ea"/>
                            <a:cs typeface="+mn-cs"/>
                          </a:rPr>
                          <m:t>𝑏𝑒</m:t>
                        </m:r>
                      </m:sub>
                    </m:sSub>
                    <m:r>
                      <a:rPr kumimoji="1" lang="en-US" altLang="ja-JP" sz="1100" b="0" i="1">
                        <a:solidFill>
                          <a:schemeClr val="tx1"/>
                        </a:solidFill>
                        <a:effectLst/>
                        <a:latin typeface="Cambria Math" panose="02040503050406030204" pitchFamily="18" charset="0"/>
                        <a:ea typeface="+mn-ea"/>
                        <a:cs typeface="+mn-cs"/>
                      </a:rPr>
                      <m:t>=</m:t>
                    </m:r>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𝑙</m:t>
                        </m:r>
                      </m:num>
                      <m:den>
                        <m:r>
                          <a:rPr kumimoji="1" lang="en-US" altLang="ja-JP" sz="1100" b="0" i="1">
                            <a:solidFill>
                              <a:schemeClr val="tx1"/>
                            </a:solidFill>
                            <a:effectLst/>
                            <a:latin typeface="Cambria Math" panose="02040503050406030204" pitchFamily="18" charset="0"/>
                            <a:ea typeface="+mn-ea"/>
                            <a:cs typeface="+mn-cs"/>
                          </a:rPr>
                          <m:t>75.05</m:t>
                        </m:r>
                      </m:den>
                    </m:f>
                    <m:r>
                      <a:rPr kumimoji="1" lang="en-US" altLang="ja-JP" sz="1100" b="0" i="1">
                        <a:solidFill>
                          <a:schemeClr val="tx1"/>
                        </a:solidFill>
                        <a:effectLst/>
                        <a:latin typeface="Cambria Math" panose="02040503050406030204" pitchFamily="18" charset="0"/>
                        <a:ea typeface="+mn-ea"/>
                        <a:cs typeface="+mn-cs"/>
                      </a:rPr>
                      <m:t>+</m:t>
                    </m:r>
                    <m:rad>
                      <m:radPr>
                        <m:degHide m:val="on"/>
                        <m:ctrlPr>
                          <a:rPr kumimoji="1" lang="en-US" altLang="ja-JP" sz="1100" i="1">
                            <a:solidFill>
                              <a:schemeClr val="tx1"/>
                            </a:solidFill>
                            <a:effectLst/>
                            <a:latin typeface="Cambria Math" panose="02040503050406030204" pitchFamily="18" charset="0"/>
                            <a:ea typeface="+mn-ea"/>
                            <a:cs typeface="+mn-cs"/>
                          </a:rPr>
                        </m:ctrlPr>
                      </m:radPr>
                      <m:deg/>
                      <m:e>
                        <m:sSup>
                          <m:sSupPr>
                            <m:ctrlPr>
                              <a:rPr kumimoji="1" lang="en-US" altLang="ja-JP" sz="1100" i="1">
                                <a:solidFill>
                                  <a:schemeClr val="tx1"/>
                                </a:solidFill>
                                <a:effectLst/>
                                <a:latin typeface="Cambria Math" panose="02040503050406030204" pitchFamily="18" charset="0"/>
                                <a:ea typeface="+mn-ea"/>
                                <a:cs typeface="+mn-cs"/>
                              </a:rPr>
                            </m:ctrlPr>
                          </m:sSupPr>
                          <m:e>
                            <m:d>
                              <m:dPr>
                                <m:ctrlPr>
                                  <a:rPr kumimoji="1" lang="en-US" altLang="ja-JP" sz="1100" i="1">
                                    <a:solidFill>
                                      <a:schemeClr val="tx1"/>
                                    </a:solidFill>
                                    <a:effectLst/>
                                    <a:latin typeface="Cambria Math" panose="02040503050406030204" pitchFamily="18" charset="0"/>
                                    <a:ea typeface="+mn-ea"/>
                                    <a:cs typeface="+mn-cs"/>
                                  </a:rPr>
                                </m:ctrlPr>
                              </m:dPr>
                              <m:e>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𝑙</m:t>
                                    </m:r>
                                  </m:num>
                                  <m:den>
                                    <m:r>
                                      <a:rPr kumimoji="1" lang="en-US" altLang="ja-JP" sz="1100" b="0" i="1">
                                        <a:solidFill>
                                          <a:schemeClr val="tx1"/>
                                        </a:solidFill>
                                        <a:effectLst/>
                                        <a:latin typeface="Cambria Math" panose="02040503050406030204" pitchFamily="18" charset="0"/>
                                        <a:ea typeface="+mn-ea"/>
                                        <a:cs typeface="+mn-cs"/>
                                      </a:rPr>
                                      <m:t>75.05</m:t>
                                    </m:r>
                                  </m:den>
                                </m:f>
                              </m:e>
                            </m:d>
                          </m:e>
                          <m:sup>
                            <m:r>
                              <a:rPr kumimoji="1" lang="en-US" altLang="ja-JP" sz="1100" b="0" i="1">
                                <a:solidFill>
                                  <a:schemeClr val="tx1"/>
                                </a:solidFill>
                                <a:effectLst/>
                                <a:latin typeface="Cambria Math" panose="02040503050406030204" pitchFamily="18" charset="0"/>
                                <a:ea typeface="+mn-ea"/>
                                <a:cs typeface="+mn-cs"/>
                              </a:rPr>
                              <m:t>2 </m:t>
                            </m:r>
                          </m:sup>
                        </m:sSup>
                        <m:r>
                          <a:rPr kumimoji="1" lang="en-US" altLang="ja-JP" sz="1100" b="0" i="1">
                            <a:solidFill>
                              <a:schemeClr val="tx1"/>
                            </a:solidFill>
                            <a:effectLst/>
                            <a:latin typeface="Cambria Math" panose="02040503050406030204" pitchFamily="18" charset="0"/>
                            <a:ea typeface="+mn-ea"/>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1</m:t>
                            </m:r>
                          </m:num>
                          <m:den>
                            <m:r>
                              <a:rPr kumimoji="1" lang="en-US" altLang="ja-JP" sz="1100" b="0" i="1">
                                <a:solidFill>
                                  <a:schemeClr val="tx1"/>
                                </a:solidFill>
                                <a:effectLst/>
                                <a:latin typeface="Cambria Math" panose="02040503050406030204" pitchFamily="18" charset="0"/>
                                <a:ea typeface="+mn-ea"/>
                                <a:cs typeface="+mn-cs"/>
                              </a:rPr>
                              <m:t>1.3</m:t>
                            </m:r>
                          </m:den>
                        </m:f>
                        <m:r>
                          <a:rPr kumimoji="1" lang="ja-JP" altLang="en-US" sz="1100" b="0" i="1">
                            <a:solidFill>
                              <a:schemeClr val="tx1"/>
                            </a:solidFill>
                            <a:effectLst/>
                            <a:latin typeface="Cambria Math" panose="02040503050406030204" pitchFamily="18" charset="0"/>
                            <a:ea typeface="+mn-ea"/>
                            <a:cs typeface="+mn-cs"/>
                          </a:rPr>
                          <m:t>・</m:t>
                        </m:r>
                        <m:f>
                          <m:fPr>
                            <m:ctrlPr>
                              <a:rPr kumimoji="1" lang="en-US" altLang="ja-JP" sz="1100" i="1">
                                <a:solidFill>
                                  <a:schemeClr val="tx1"/>
                                </a:solidFill>
                                <a:effectLst/>
                                <a:latin typeface="Cambria Math" panose="02040503050406030204" pitchFamily="18" charset="0"/>
                                <a:ea typeface="+mn-ea"/>
                                <a:cs typeface="+mn-cs"/>
                              </a:rPr>
                            </m:ctrlPr>
                          </m:fPr>
                          <m:num>
                            <m:sSub>
                              <m:sSubPr>
                                <m:ctrlPr>
                                  <a:rPr kumimoji="1" lang="en-US" altLang="ja-JP" sz="1100" i="1">
                                    <a:solidFill>
                                      <a:schemeClr val="tx1"/>
                                    </a:solidFill>
                                    <a:effectLst/>
                                    <a:latin typeface="Cambria Math" panose="02040503050406030204" pitchFamily="18" charset="0"/>
                                    <a:ea typeface="+mn-ea"/>
                                    <a:cs typeface="+mn-cs"/>
                                  </a:rPr>
                                </m:ctrlPr>
                              </m:sSubPr>
                              <m:e>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𝑊</m:t>
                                    </m:r>
                                  </m:e>
                                  <m:sub>
                                    <m:r>
                                      <a:rPr kumimoji="1" lang="en-US" altLang="ja-JP" sz="1100" i="1">
                                        <a:solidFill>
                                          <a:schemeClr val="tx1"/>
                                        </a:solidFill>
                                        <a:effectLst/>
                                        <a:latin typeface="Cambria Math" panose="02040503050406030204" pitchFamily="18" charset="0"/>
                                        <a:ea typeface="+mn-ea"/>
                                        <a:cs typeface="+mn-cs"/>
                                      </a:rPr>
                                      <m:t>𝑑</m:t>
                                    </m:r>
                                  </m:sub>
                                </m:sSub>
                                <m:r>
                                  <a:rPr kumimoji="1" lang="en-US" altLang="ja-JP" sz="1100" i="1">
                                    <a:solidFill>
                                      <a:schemeClr val="tx1"/>
                                    </a:solidFill>
                                    <a:effectLst/>
                                    <a:latin typeface="Cambria Math" panose="02040503050406030204" pitchFamily="18" charset="0"/>
                                    <a:ea typeface="+mn-ea"/>
                                    <a:cs typeface="+mn-cs"/>
                                  </a:rPr>
                                  <m:t>𝐴</m:t>
                                </m:r>
                              </m:e>
                              <m:sub>
                                <m:r>
                                  <a:rPr kumimoji="1" lang="en-US" altLang="ja-JP" sz="1100" b="0" i="1">
                                    <a:solidFill>
                                      <a:schemeClr val="tx1"/>
                                    </a:solidFill>
                                    <a:effectLst/>
                                    <a:latin typeface="Cambria Math" panose="02040503050406030204" pitchFamily="18" charset="0"/>
                                    <a:ea typeface="+mn-ea"/>
                                    <a:cs typeface="+mn-cs"/>
                                  </a:rPr>
                                  <m:t>𝑒</m:t>
                                </m:r>
                              </m:sub>
                            </m:sSub>
                          </m:num>
                          <m:den>
                            <m:d>
                              <m:dPr>
                                <m:ctrlPr>
                                  <a:rPr kumimoji="1" lang="en-US" altLang="ja-JP" sz="1100" i="1">
                                    <a:solidFill>
                                      <a:schemeClr val="tx1"/>
                                    </a:solidFill>
                                    <a:effectLst/>
                                    <a:latin typeface="Cambria Math" panose="02040503050406030204" pitchFamily="18" charset="0"/>
                                    <a:ea typeface="+mn-ea"/>
                                    <a:cs typeface="+mn-cs"/>
                                  </a:rPr>
                                </m:ctrlPr>
                              </m:dPr>
                              <m:e>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1.1</m:t>
                                    </m:r>
                                  </m:num>
                                  <m:den>
                                    <m:r>
                                      <a:rPr kumimoji="1" lang="en-US" altLang="ja-JP" sz="1100" b="0" i="1">
                                        <a:solidFill>
                                          <a:schemeClr val="tx1"/>
                                        </a:solidFill>
                                        <a:effectLst/>
                                        <a:latin typeface="Cambria Math" panose="02040503050406030204" pitchFamily="18" charset="0"/>
                                        <a:ea typeface="+mn-ea"/>
                                        <a:cs typeface="+mn-cs"/>
                                      </a:rPr>
                                      <m:t>3</m:t>
                                    </m:r>
                                  </m:den>
                                </m:f>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𝐹</m:t>
                                    </m:r>
                                  </m:e>
                                  <m:sub>
                                    <m:r>
                                      <a:rPr kumimoji="1" lang="en-US" altLang="ja-JP" sz="1100" b="0" i="1">
                                        <a:solidFill>
                                          <a:schemeClr val="tx1"/>
                                        </a:solidFill>
                                        <a:effectLst/>
                                        <a:latin typeface="Cambria Math" panose="02040503050406030204" pitchFamily="18" charset="0"/>
                                        <a:ea typeface="+mn-ea"/>
                                        <a:cs typeface="+mn-cs"/>
                                      </a:rPr>
                                      <m:t>𝐶</m:t>
                                    </m:r>
                                  </m:sub>
                                </m:sSub>
                              </m:e>
                            </m:d>
                          </m:den>
                        </m:f>
                      </m:e>
                    </m:rad>
                  </m:oMath>
                </m:oMathPara>
              </a14:m>
              <a:endParaRPr kumimoji="1" lang="en-US" altLang="ja-JP" sz="1100" b="0">
                <a:ea typeface="Cambria Math" panose="02040503050406030204" pitchFamily="18" charset="0"/>
              </a:endParaRPr>
            </a:p>
            <a:p>
              <a:pPr algn="l"/>
              <a:endParaRPr kumimoji="1" lang="en-US" altLang="ja-JP" sz="1100" b="0">
                <a:ea typeface="Cambria Math" panose="02040503050406030204" pitchFamily="18" charset="0"/>
              </a:endParaRPr>
            </a:p>
            <a:p>
              <a:endParaRPr kumimoji="1" lang="en-US" altLang="ja-JP" sz="1100" b="0">
                <a:ea typeface="Cambria Math" panose="02040503050406030204" pitchFamily="18" charset="0"/>
              </a:endParaRPr>
            </a:p>
            <a:p>
              <a:endParaRPr kumimoji="1" lang="en-US" altLang="ja-JP" sz="1100" b="0">
                <a:ea typeface="Cambria Math" panose="02040503050406030204" pitchFamily="18" charset="0"/>
              </a:endParaRPr>
            </a:p>
            <a:p>
              <a:r>
                <a:rPr kumimoji="1" lang="en-US" altLang="ja-JP" sz="1100"/>
                <a:t>::    </a:t>
              </a:r>
              <a:endParaRPr kumimoji="1" lang="ja-JP" altLang="en-US" sz="1100"/>
            </a:p>
          </xdr:txBody>
        </xdr:sp>
      </mc:Choice>
      <mc:Fallback xmlns="">
        <xdr:sp macro="" textlink="">
          <xdr:nvSpPr>
            <xdr:cNvPr id="13" name="テキスト ボックス 12">
              <a:extLst>
                <a:ext uri="{FF2B5EF4-FFF2-40B4-BE49-F238E27FC236}">
                  <a16:creationId xmlns:a16="http://schemas.microsoft.com/office/drawing/2014/main" id="{00000000-0008-0000-0600-00000D000000}"/>
                </a:ext>
              </a:extLst>
            </xdr:cNvPr>
            <xdr:cNvSpPr txBox="1"/>
          </xdr:nvSpPr>
          <xdr:spPr>
            <a:xfrm>
              <a:off x="281939" y="40894636"/>
              <a:ext cx="6177201" cy="10972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l"/>
              <a:endParaRPr kumimoji="1" lang="en-US" altLang="ja-JP" sz="1100" b="0">
                <a:ea typeface="Cambria Math" panose="02040503050406030204" pitchFamily="18" charset="0"/>
              </a:endParaRPr>
            </a:p>
            <a:p>
              <a:pPr algn="l"/>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𝑙/52.70</a:t>
              </a:r>
              <a:r>
                <a:rPr kumimoji="1" lang="en-US" altLang="ja-JP" sz="1100" i="0">
                  <a:solidFill>
                    <a:schemeClr val="tx1"/>
                  </a:solidFill>
                  <a:effectLst/>
                  <a:latin typeface="Cambria Math" panose="02040503050406030204" pitchFamily="18" charset="0"/>
                  <a:ea typeface="Cambria Math" panose="02040503050406030204" pitchFamily="18" charset="0"/>
                  <a:cs typeface="+mn-cs"/>
                </a:rPr>
                <a:t>≤</a:t>
              </a:r>
              <a:r>
                <a:rPr kumimoji="1" lang="en-US" altLang="ja-JP" sz="1100" i="0">
                  <a:solidFill>
                    <a:schemeClr val="tx1"/>
                  </a:solidFill>
                  <a:effectLst/>
                  <a:latin typeface="Cambria Math" panose="02040503050406030204" pitchFamily="18" charset="0"/>
                  <a:ea typeface="+mn-ea"/>
                  <a:cs typeface="+mn-cs"/>
                </a:rPr>
                <a:t>√(〖𝑊_𝑑 𝐴〗_</a:t>
              </a:r>
              <a:r>
                <a:rPr kumimoji="1" lang="en-US" altLang="ja-JP" sz="1100" b="0" i="0">
                  <a:solidFill>
                    <a:schemeClr val="tx1"/>
                  </a:solidFill>
                  <a:effectLst/>
                  <a:latin typeface="Cambria Math" panose="02040503050406030204" pitchFamily="18" charset="0"/>
                  <a:ea typeface="+mn-ea"/>
                  <a:cs typeface="+mn-cs"/>
                </a:rPr>
                <a:t>𝑒/((</a:t>
              </a:r>
              <a:r>
                <a:rPr kumimoji="1" lang="en-US" altLang="ja-JP" sz="1100" i="0">
                  <a:solidFill>
                    <a:schemeClr val="tx1"/>
                  </a:solidFill>
                  <a:effectLst/>
                  <a:latin typeface="Cambria Math" panose="02040503050406030204" pitchFamily="18" charset="0"/>
                  <a:ea typeface="+mn-ea"/>
                  <a:cs typeface="+mn-cs"/>
                </a:rPr>
                <a:t>1.1/</a:t>
              </a:r>
              <a:r>
                <a:rPr kumimoji="1" lang="en-US" altLang="ja-JP" sz="1100" b="0" i="0">
                  <a:solidFill>
                    <a:schemeClr val="tx1"/>
                  </a:solidFill>
                  <a:effectLst/>
                  <a:latin typeface="Cambria Math" panose="02040503050406030204" pitchFamily="18" charset="0"/>
                  <a:ea typeface="+mn-ea"/>
                  <a:cs typeface="+mn-cs"/>
                </a:rPr>
                <a:t>3 𝐹_𝐶 ) ))</a:t>
              </a:r>
              <a:r>
                <a:rPr kumimoji="1" lang="ja-JP" altLang="en-US" sz="1100" b="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𝑙/8.66 </a:t>
              </a:r>
              <a:r>
                <a:rPr kumimoji="1" lang="en-US" altLang="ja-JP" sz="110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=1/28.87</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a:t>
              </a:r>
              <a:r>
                <a:rPr kumimoji="1" lang="en-US" altLang="ja-JP" sz="1100" b="0" i="0">
                  <a:solidFill>
                    <a:schemeClr val="tx1"/>
                  </a:solidFill>
                  <a:effectLst/>
                  <a:latin typeface="Cambria Math" panose="02040503050406030204" pitchFamily="18" charset="0"/>
                  <a:ea typeface="+mn-ea"/>
                  <a:cs typeface="+mn-cs"/>
                </a:rPr>
                <a:t>𝑑_𝑒/𝑙</a:t>
              </a:r>
              <a:r>
                <a:rPr kumimoji="1" lang="ja-JP" altLang="en-US" sz="1100" b="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1/8.66)   : </a:t>
              </a:r>
              <a:r>
                <a:rPr kumimoji="1" lang="ja-JP" altLang="en-US" sz="1100" b="0" i="0">
                  <a:solidFill>
                    <a:schemeClr val="tx1"/>
                  </a:solidFill>
                  <a:effectLst/>
                  <a:latin typeface="Cambria Math" panose="02040503050406030204" pitchFamily="18" charset="0"/>
                  <a:ea typeface="+mn-ea"/>
                  <a:cs typeface="+mn-cs"/>
                </a:rPr>
                <a:t>　　</a:t>
              </a:r>
              <a:r>
                <a:rPr kumimoji="1" lang="en-US" altLang="ja-JP" sz="1100" b="0" i="0">
                  <a:solidFill>
                    <a:schemeClr val="tx1"/>
                  </a:solidFill>
                  <a:effectLst/>
                  <a:latin typeface="Cambria Math" panose="02040503050406030204" pitchFamily="18" charset="0"/>
                  <a:ea typeface="+mn-ea"/>
                  <a:cs typeface="+mn-cs"/>
                </a:rPr>
                <a:t> 𝑑_𝑏𝑒=𝑙/75.05+</a:t>
              </a:r>
              <a:r>
                <a:rPr kumimoji="1" lang="en-US" altLang="ja-JP" sz="110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𝑙/75.05)^(2 )+1/1.3</a:t>
              </a:r>
              <a:r>
                <a:rPr kumimoji="1" lang="ja-JP" altLang="en-US" sz="1100" b="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i="0">
                  <a:solidFill>
                    <a:schemeClr val="tx1"/>
                  </a:solidFill>
                  <a:effectLst/>
                  <a:latin typeface="Cambria Math" panose="02040503050406030204" pitchFamily="18" charset="0"/>
                  <a:ea typeface="+mn-ea"/>
                  <a:cs typeface="+mn-cs"/>
                </a:rPr>
                <a:t>𝑊_𝑑 𝐴〗_</a:t>
              </a:r>
              <a:r>
                <a:rPr kumimoji="1" lang="en-US" altLang="ja-JP" sz="1100" b="0" i="0">
                  <a:solidFill>
                    <a:schemeClr val="tx1"/>
                  </a:solidFill>
                  <a:effectLst/>
                  <a:latin typeface="Cambria Math" panose="02040503050406030204" pitchFamily="18" charset="0"/>
                  <a:ea typeface="+mn-ea"/>
                  <a:cs typeface="+mn-cs"/>
                </a:rPr>
                <a:t>𝑒/((</a:t>
              </a:r>
              <a:r>
                <a:rPr kumimoji="1" lang="en-US" altLang="ja-JP" sz="1100" i="0">
                  <a:solidFill>
                    <a:schemeClr val="tx1"/>
                  </a:solidFill>
                  <a:effectLst/>
                  <a:latin typeface="Cambria Math" panose="02040503050406030204" pitchFamily="18" charset="0"/>
                  <a:ea typeface="+mn-ea"/>
                  <a:cs typeface="+mn-cs"/>
                </a:rPr>
                <a:t>1.1/</a:t>
              </a:r>
              <a:r>
                <a:rPr kumimoji="1" lang="en-US" altLang="ja-JP" sz="1100" b="0" i="0">
                  <a:solidFill>
                    <a:schemeClr val="tx1"/>
                  </a:solidFill>
                  <a:effectLst/>
                  <a:latin typeface="Cambria Math" panose="02040503050406030204" pitchFamily="18" charset="0"/>
                  <a:ea typeface="+mn-ea"/>
                  <a:cs typeface="+mn-cs"/>
                </a:rPr>
                <a:t>3 𝐹_𝐶 ) ))</a:t>
              </a:r>
              <a:endParaRPr kumimoji="1" lang="en-US" altLang="ja-JP" sz="1100" b="0">
                <a:ea typeface="Cambria Math" panose="02040503050406030204" pitchFamily="18" charset="0"/>
              </a:endParaRPr>
            </a:p>
            <a:p>
              <a:pPr algn="l"/>
              <a:endParaRPr kumimoji="1" lang="en-US" altLang="ja-JP" sz="1100" b="0">
                <a:ea typeface="Cambria Math" panose="02040503050406030204" pitchFamily="18" charset="0"/>
              </a:endParaRPr>
            </a:p>
            <a:p>
              <a:endParaRPr kumimoji="1" lang="en-US" altLang="ja-JP" sz="1100" b="0">
                <a:ea typeface="Cambria Math" panose="02040503050406030204" pitchFamily="18" charset="0"/>
              </a:endParaRPr>
            </a:p>
            <a:p>
              <a:endParaRPr kumimoji="1" lang="en-US" altLang="ja-JP" sz="1100" b="0">
                <a:ea typeface="Cambria Math" panose="02040503050406030204" pitchFamily="18" charset="0"/>
              </a:endParaRPr>
            </a:p>
            <a:p>
              <a:r>
                <a:rPr kumimoji="1" lang="en-US" altLang="ja-JP" sz="1100"/>
                <a:t>::    </a:t>
              </a:r>
              <a:endParaRPr kumimoji="1" lang="ja-JP" altLang="en-US" sz="1100"/>
            </a:p>
          </xdr:txBody>
        </xdr:sp>
      </mc:Fallback>
    </mc:AlternateContent>
    <xdr:clientData/>
  </xdr:oneCellAnchor>
  <xdr:oneCellAnchor>
    <xdr:from>
      <xdr:col>0</xdr:col>
      <xdr:colOff>281939</xdr:colOff>
      <xdr:row>142</xdr:row>
      <xdr:rowOff>198120</xdr:rowOff>
    </xdr:from>
    <xdr:ext cx="5063967" cy="836960"/>
    <mc:AlternateContent xmlns:mc="http://schemas.openxmlformats.org/markup-compatibility/2006" xmlns:a14="http://schemas.microsoft.com/office/drawing/2010/main">
      <mc:Choice Requires="a14">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281939" y="41946195"/>
              <a:ext cx="5063967" cy="836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ad>
                      <m:radPr>
                        <m:degHide m:val="on"/>
                        <m:ctrlPr>
                          <a:rPr kumimoji="1" lang="en-US" altLang="ja-JP" sz="1100" i="1">
                            <a:latin typeface="Cambria Math" panose="02040503050406030204" pitchFamily="18" charset="0"/>
                          </a:rPr>
                        </m:ctrlPr>
                      </m:radPr>
                      <m:deg/>
                      <m:e>
                        <m:f>
                          <m:fPr>
                            <m:ctrlPr>
                              <a:rPr kumimoji="1" lang="en-US" altLang="ja-JP" sz="1100" i="1">
                                <a:latin typeface="Cambria Math" panose="02040503050406030204" pitchFamily="18" charset="0"/>
                              </a:rPr>
                            </m:ctrlPr>
                          </m:fPr>
                          <m:num>
                            <m:sSub>
                              <m:sSubPr>
                                <m:ctrlPr>
                                  <a:rPr kumimoji="1" lang="en-US" altLang="ja-JP" sz="1100" i="1">
                                    <a:solidFill>
                                      <a:schemeClr val="tx1"/>
                                    </a:solidFill>
                                    <a:effectLst/>
                                    <a:latin typeface="Cambria Math" panose="02040503050406030204" pitchFamily="18" charset="0"/>
                                    <a:ea typeface="+mn-ea"/>
                                    <a:cs typeface="+mn-cs"/>
                                  </a:rPr>
                                </m:ctrlPr>
                              </m:sSubPr>
                              <m:e>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𝑊</m:t>
                                    </m:r>
                                  </m:e>
                                  <m:sub>
                                    <m:r>
                                      <a:rPr kumimoji="1" lang="en-US" altLang="ja-JP" sz="1100" i="1">
                                        <a:solidFill>
                                          <a:schemeClr val="tx1"/>
                                        </a:solidFill>
                                        <a:effectLst/>
                                        <a:latin typeface="Cambria Math" panose="02040503050406030204" pitchFamily="18" charset="0"/>
                                        <a:ea typeface="+mn-ea"/>
                                        <a:cs typeface="+mn-cs"/>
                                      </a:rPr>
                                      <m:t>𝑑</m:t>
                                    </m:r>
                                  </m:sub>
                                </m:sSub>
                                <m:r>
                                  <a:rPr kumimoji="1" lang="en-US" altLang="ja-JP" sz="1100" i="1">
                                    <a:solidFill>
                                      <a:schemeClr val="tx1"/>
                                    </a:solidFill>
                                    <a:effectLst/>
                                    <a:latin typeface="Cambria Math" panose="02040503050406030204" pitchFamily="18" charset="0"/>
                                    <a:ea typeface="+mn-ea"/>
                                    <a:cs typeface="+mn-cs"/>
                                  </a:rPr>
                                  <m:t>𝐴</m:t>
                                </m:r>
                              </m:e>
                              <m:sub>
                                <m:r>
                                  <a:rPr kumimoji="1" lang="en-US" altLang="ja-JP" sz="1100" b="0" i="1">
                                    <a:solidFill>
                                      <a:schemeClr val="tx1"/>
                                    </a:solidFill>
                                    <a:effectLst/>
                                    <a:latin typeface="Cambria Math" panose="02040503050406030204" pitchFamily="18" charset="0"/>
                                    <a:ea typeface="+mn-ea"/>
                                    <a:cs typeface="+mn-cs"/>
                                  </a:rPr>
                                  <m:t>𝑒</m:t>
                                </m:r>
                              </m:sub>
                            </m:sSub>
                          </m:num>
                          <m:den>
                            <m:d>
                              <m:dPr>
                                <m:ctrlPr>
                                  <a:rPr kumimoji="1" lang="en-US" altLang="ja-JP" sz="1100" i="1">
                                    <a:latin typeface="Cambria Math" panose="02040503050406030204" pitchFamily="18" charset="0"/>
                                  </a:rPr>
                                </m:ctrlPr>
                              </m:dPr>
                              <m:e>
                                <m:f>
                                  <m:fPr>
                                    <m:ctrlPr>
                                      <a:rPr kumimoji="1" lang="en-US" altLang="ja-JP" sz="1100" i="1">
                                        <a:latin typeface="Cambria Math" panose="02040503050406030204" pitchFamily="18" charset="0"/>
                                      </a:rPr>
                                    </m:ctrlPr>
                                  </m:fPr>
                                  <m:num>
                                    <m:r>
                                      <a:rPr kumimoji="1" lang="en-US" altLang="ja-JP" sz="1100" i="1">
                                        <a:latin typeface="Cambria Math" panose="02040503050406030204" pitchFamily="18" charset="0"/>
                                      </a:rPr>
                                      <m:t>1.1</m:t>
                                    </m:r>
                                  </m:num>
                                  <m:den>
                                    <m:r>
                                      <a:rPr kumimoji="1" lang="en-US" altLang="ja-JP" sz="1100" b="0" i="1">
                                        <a:latin typeface="Cambria Math" panose="02040503050406030204" pitchFamily="18" charset="0"/>
                                      </a:rPr>
                                      <m:t>3</m:t>
                                    </m:r>
                                  </m:den>
                                </m:f>
                                <m:sSub>
                                  <m:sSubPr>
                                    <m:ctrlPr>
                                      <a:rPr kumimoji="1" lang="en-US" altLang="ja-JP" sz="1100" i="1">
                                        <a:latin typeface="Cambria Math" panose="02040503050406030204" pitchFamily="18" charset="0"/>
                                      </a:rPr>
                                    </m:ctrlPr>
                                  </m:sSubPr>
                                  <m:e>
                                    <m:r>
                                      <a:rPr kumimoji="1" lang="en-US" altLang="ja-JP" sz="1100" b="0" i="1">
                                        <a:latin typeface="Cambria Math" panose="02040503050406030204" pitchFamily="18" charset="0"/>
                                      </a:rPr>
                                      <m:t>𝐹</m:t>
                                    </m:r>
                                  </m:e>
                                  <m:sub>
                                    <m:r>
                                      <a:rPr kumimoji="1" lang="en-US" altLang="ja-JP" sz="1100" b="0" i="1">
                                        <a:latin typeface="Cambria Math" panose="02040503050406030204" pitchFamily="18" charset="0"/>
                                      </a:rPr>
                                      <m:t>𝐶</m:t>
                                    </m:r>
                                  </m:sub>
                                </m:sSub>
                              </m:e>
                            </m:d>
                          </m:den>
                        </m:f>
                      </m:e>
                    </m:rad>
                    <m:r>
                      <a:rPr kumimoji="1" lang="en-US" altLang="ja-JP" sz="1100" i="1">
                        <a:latin typeface="Cambria Math" panose="02040503050406030204" pitchFamily="18" charset="0"/>
                        <a:ea typeface="Cambria Math" panose="02040503050406030204" pitchFamily="18" charset="0"/>
                      </a:rPr>
                      <m:t>&lt;</m:t>
                    </m:r>
                    <m:f>
                      <m:fPr>
                        <m:ctrlPr>
                          <a:rPr kumimoji="1" lang="en-US" altLang="ja-JP" sz="110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𝑙</m:t>
                        </m:r>
                      </m:num>
                      <m:den>
                        <m:r>
                          <a:rPr kumimoji="1" lang="en-US" altLang="ja-JP" sz="1100" b="0" i="1">
                            <a:latin typeface="Cambria Math" panose="02040503050406030204" pitchFamily="18" charset="0"/>
                            <a:ea typeface="Cambria Math" panose="02040503050406030204" pitchFamily="18" charset="0"/>
                          </a:rPr>
                          <m:t>52.70</m:t>
                        </m:r>
                      </m:den>
                    </m:f>
                    <m:d>
                      <m:dPr>
                        <m:ctrlPr>
                          <a:rPr kumimoji="1" lang="en-US" altLang="ja-JP" sz="1100" i="1">
                            <a:latin typeface="Cambria Math" panose="02040503050406030204" pitchFamily="18" charset="0"/>
                            <a:ea typeface="Cambria Math" panose="02040503050406030204" pitchFamily="18" charset="0"/>
                          </a:rPr>
                        </m:ctrlPr>
                      </m:dPr>
                      <m:e>
                        <m:r>
                          <a:rPr kumimoji="1" lang="en-US" altLang="ja-JP" sz="1100" b="0" i="1">
                            <a:latin typeface="Cambria Math" panose="02040503050406030204" pitchFamily="18" charset="0"/>
                            <a:ea typeface="Cambria Math" panose="02040503050406030204" pitchFamily="18" charset="0"/>
                          </a:rPr>
                          <m:t>=</m:t>
                        </m:r>
                        <m:f>
                          <m:fPr>
                            <m:ctrlPr>
                              <a:rPr kumimoji="1" lang="en-US" altLang="ja-JP" sz="1100" b="0" i="1">
                                <a:latin typeface="Cambria Math" panose="02040503050406030204" pitchFamily="18" charset="0"/>
                                <a:ea typeface="Cambria Math" panose="02040503050406030204" pitchFamily="18" charset="0"/>
                              </a:rPr>
                            </m:ctrlPr>
                          </m:fPr>
                          <m:num>
                            <m:sSub>
                              <m:sSubPr>
                                <m:ctrlPr>
                                  <a:rPr kumimoji="1" lang="en-US" altLang="ja-JP" sz="1100" b="0" i="1">
                                    <a:latin typeface="Cambria Math" panose="02040503050406030204" pitchFamily="18" charset="0"/>
                                    <a:ea typeface="Cambria Math" panose="02040503050406030204" pitchFamily="18" charset="0"/>
                                  </a:rPr>
                                </m:ctrlPr>
                              </m:sSubPr>
                              <m:e>
                                <m:r>
                                  <a:rPr kumimoji="1" lang="en-US" altLang="ja-JP" sz="1100" b="0" i="1">
                                    <a:latin typeface="Cambria Math" panose="02040503050406030204" pitchFamily="18" charset="0"/>
                                    <a:ea typeface="Cambria Math" panose="02040503050406030204" pitchFamily="18" charset="0"/>
                                  </a:rPr>
                                  <m:t>𝑑</m:t>
                                </m:r>
                              </m:e>
                              <m:sub>
                                <m:r>
                                  <a:rPr kumimoji="1" lang="en-US" altLang="ja-JP" sz="1100" b="0" i="1">
                                    <a:latin typeface="Cambria Math" panose="02040503050406030204" pitchFamily="18" charset="0"/>
                                    <a:ea typeface="Cambria Math" panose="02040503050406030204" pitchFamily="18" charset="0"/>
                                  </a:rPr>
                                  <m:t>𝑒</m:t>
                                </m:r>
                              </m:sub>
                            </m:sSub>
                          </m:num>
                          <m:den>
                            <m:r>
                              <a:rPr kumimoji="1" lang="en-US" altLang="ja-JP" sz="1100" b="0" i="1">
                                <a:latin typeface="Cambria Math" panose="02040503050406030204" pitchFamily="18" charset="0"/>
                                <a:ea typeface="Cambria Math" panose="02040503050406030204" pitchFamily="18" charset="0"/>
                              </a:rPr>
                              <m:t>𝑙</m:t>
                            </m:r>
                          </m:den>
                        </m:f>
                        <m:r>
                          <a:rPr kumimoji="1" lang="en-US" altLang="ja-JP" sz="1100" b="0" i="1">
                            <a:latin typeface="Cambria Math" panose="02040503050406030204" pitchFamily="18" charset="0"/>
                            <a:ea typeface="Cambria Math" panose="02040503050406030204" pitchFamily="18" charset="0"/>
                          </a:rPr>
                          <m:t>&lt;</m:t>
                        </m:r>
                        <m:f>
                          <m:fPr>
                            <m:ctrlPr>
                              <a:rPr kumimoji="1" lang="en-US" altLang="ja-JP" sz="1100" b="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1</m:t>
                            </m:r>
                          </m:num>
                          <m:den>
                            <m:r>
                              <a:rPr kumimoji="1" lang="en-US" altLang="ja-JP" sz="1100" b="0" i="1">
                                <a:latin typeface="Cambria Math" panose="02040503050406030204" pitchFamily="18" charset="0"/>
                                <a:ea typeface="Cambria Math" panose="02040503050406030204" pitchFamily="18" charset="0"/>
                              </a:rPr>
                              <m:t>28.87</m:t>
                            </m:r>
                          </m:den>
                        </m:f>
                      </m:e>
                    </m:d>
                    <m:r>
                      <a:rPr kumimoji="1" lang="en-US" altLang="ja-JP" sz="1100" b="0" i="1">
                        <a:latin typeface="Cambria Math" panose="02040503050406030204" pitchFamily="18" charset="0"/>
                        <a:ea typeface="Cambria Math" panose="02040503050406030204" pitchFamily="18" charset="0"/>
                      </a:rPr>
                      <m:t>  :         </m:t>
                    </m:r>
                    <m:r>
                      <a:rPr kumimoji="1" lang="ja-JP" altLang="en-US" sz="1100" b="0" i="1">
                        <a:latin typeface="Cambria Math" panose="02040503050406030204" pitchFamily="18" charset="0"/>
                        <a:ea typeface="Cambria Math" panose="02040503050406030204" pitchFamily="18" charset="0"/>
                      </a:rPr>
                      <m:t>　　　</m:t>
                    </m:r>
                    <m:r>
                      <a:rPr kumimoji="1" lang="en-US" altLang="ja-JP" sz="1100" b="0" i="1">
                        <a:latin typeface="Cambria Math" panose="02040503050406030204" pitchFamily="18" charset="0"/>
                        <a:ea typeface="Cambria Math" panose="02040503050406030204" pitchFamily="18" charset="0"/>
                      </a:rPr>
                      <m:t>     </m:t>
                    </m:r>
                    <m:r>
                      <a:rPr kumimoji="1" lang="ja-JP" altLang="en-US" sz="1100" b="0" i="1">
                        <a:latin typeface="Cambria Math" panose="02040503050406030204" pitchFamily="18" charset="0"/>
                        <a:ea typeface="Cambria Math" panose="02040503050406030204" pitchFamily="18" charset="0"/>
                      </a:rPr>
                      <m:t>　</m:t>
                    </m:r>
                    <m:r>
                      <a:rPr kumimoji="1" lang="en-US" altLang="ja-JP" sz="1100" b="0" i="1">
                        <a:latin typeface="Cambria Math" panose="02040503050406030204" pitchFamily="18" charset="0"/>
                        <a:ea typeface="Cambria Math" panose="02040503050406030204" pitchFamily="18" charset="0"/>
                      </a:rPr>
                      <m:t>      </m:t>
                    </m:r>
                    <m:sSub>
                      <m:sSubPr>
                        <m:ctrlPr>
                          <a:rPr kumimoji="1" lang="en-US" altLang="ja-JP" sz="1100" b="0" i="1">
                            <a:latin typeface="Cambria Math" panose="02040503050406030204" pitchFamily="18" charset="0"/>
                            <a:ea typeface="Cambria Math" panose="02040503050406030204" pitchFamily="18" charset="0"/>
                          </a:rPr>
                        </m:ctrlPr>
                      </m:sSubPr>
                      <m:e>
                        <m:r>
                          <a:rPr kumimoji="1" lang="en-US" altLang="ja-JP" sz="1100" b="0" i="1">
                            <a:latin typeface="Cambria Math" panose="02040503050406030204" pitchFamily="18" charset="0"/>
                            <a:ea typeface="Cambria Math" panose="02040503050406030204" pitchFamily="18" charset="0"/>
                          </a:rPr>
                          <m:t>𝑑</m:t>
                        </m:r>
                      </m:e>
                      <m:sub>
                        <m:r>
                          <a:rPr kumimoji="1" lang="en-US" altLang="ja-JP" sz="1100" b="0" i="1">
                            <a:latin typeface="Cambria Math" panose="02040503050406030204" pitchFamily="18" charset="0"/>
                            <a:ea typeface="Cambria Math" panose="02040503050406030204" pitchFamily="18" charset="0"/>
                          </a:rPr>
                          <m:t>𝑏𝑒</m:t>
                        </m:r>
                      </m:sub>
                    </m:sSub>
                    <m:r>
                      <a:rPr kumimoji="1" lang="en-US" altLang="ja-JP" sz="1100" b="0" i="1">
                        <a:latin typeface="Cambria Math" panose="02040503050406030204" pitchFamily="18" charset="0"/>
                        <a:ea typeface="Cambria Math" panose="02040503050406030204" pitchFamily="18" charset="0"/>
                      </a:rPr>
                      <m:t>=</m:t>
                    </m:r>
                    <m:rad>
                      <m:radPr>
                        <m:ctrlPr>
                          <a:rPr kumimoji="1" lang="en-US" altLang="ja-JP" sz="1100" b="0" i="1">
                            <a:latin typeface="Cambria Math" panose="02040503050406030204" pitchFamily="18" charset="0"/>
                            <a:ea typeface="Cambria Math" panose="02040503050406030204" pitchFamily="18" charset="0"/>
                          </a:rPr>
                        </m:ctrlPr>
                      </m:radPr>
                      <m:deg>
                        <m:r>
                          <m:rPr>
                            <m:brk m:alnAt="7"/>
                          </m:rPr>
                          <a:rPr kumimoji="1" lang="en-US" altLang="ja-JP" sz="1100" b="0" i="1">
                            <a:latin typeface="Cambria Math" panose="02040503050406030204" pitchFamily="18" charset="0"/>
                            <a:ea typeface="Cambria Math" panose="02040503050406030204" pitchFamily="18" charset="0"/>
                          </a:rPr>
                          <m:t>4</m:t>
                        </m:r>
                      </m:deg>
                      <m:e>
                        <m:f>
                          <m:fPr>
                            <m:ctrlPr>
                              <a:rPr kumimoji="1" lang="en-US" altLang="ja-JP" sz="1100" b="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12</m:t>
                            </m:r>
                            <m:sSup>
                              <m:sSupPr>
                                <m:ctrlPr>
                                  <a:rPr kumimoji="1" lang="en-US" altLang="ja-JP" sz="1100" b="0" i="1">
                                    <a:latin typeface="Cambria Math" panose="02040503050406030204" pitchFamily="18" charset="0"/>
                                    <a:ea typeface="Cambria Math" panose="02040503050406030204" pitchFamily="18" charset="0"/>
                                  </a:rPr>
                                </m:ctrlPr>
                              </m:sSupPr>
                              <m:e>
                                <m:r>
                                  <a:rPr kumimoji="1" lang="en-US" altLang="ja-JP" sz="1100" b="0" i="1">
                                    <a:latin typeface="Cambria Math" panose="02040503050406030204" pitchFamily="18" charset="0"/>
                                    <a:ea typeface="Cambria Math" panose="02040503050406030204" pitchFamily="18" charset="0"/>
                                  </a:rPr>
                                  <m:t>𝑙</m:t>
                                </m:r>
                              </m:e>
                              <m:sup>
                                <m:r>
                                  <a:rPr kumimoji="1" lang="en-US" altLang="ja-JP" sz="1100" b="0" i="1">
                                    <a:latin typeface="Cambria Math" panose="02040503050406030204" pitchFamily="18" charset="0"/>
                                    <a:ea typeface="Cambria Math" panose="02040503050406030204" pitchFamily="18" charset="0"/>
                                  </a:rPr>
                                  <m:t>2</m:t>
                                </m:r>
                              </m:sup>
                            </m:sSup>
                          </m:num>
                          <m:den>
                            <m:r>
                              <a:rPr kumimoji="1" lang="en-US" altLang="ja-JP" sz="1100" b="0" i="1">
                                <a:latin typeface="Cambria Math" panose="02040503050406030204" pitchFamily="18" charset="0"/>
                                <a:ea typeface="Cambria Math" panose="02040503050406030204" pitchFamily="18" charset="0"/>
                              </a:rPr>
                              <m:t>3000</m:t>
                            </m:r>
                          </m:den>
                        </m:f>
                        <m:r>
                          <a:rPr kumimoji="1" lang="ja-JP" altLang="en-US" sz="1100" b="0" i="1">
                            <a:latin typeface="Cambria Math" panose="02040503050406030204" pitchFamily="18" charset="0"/>
                            <a:ea typeface="Cambria Math" panose="02040503050406030204" pitchFamily="18" charset="0"/>
                          </a:rPr>
                          <m:t>・</m:t>
                        </m:r>
                        <m:f>
                          <m:fPr>
                            <m:ctrlPr>
                              <a:rPr kumimoji="1" lang="en-US" altLang="ja-JP" sz="1100" i="1">
                                <a:solidFill>
                                  <a:schemeClr val="tx1"/>
                                </a:solidFill>
                                <a:effectLst/>
                                <a:latin typeface="Cambria Math" panose="02040503050406030204" pitchFamily="18" charset="0"/>
                                <a:ea typeface="+mn-ea"/>
                                <a:cs typeface="+mn-cs"/>
                              </a:rPr>
                            </m:ctrlPr>
                          </m:fPr>
                          <m:num>
                            <m:sSub>
                              <m:sSubPr>
                                <m:ctrlPr>
                                  <a:rPr kumimoji="1" lang="en-US" altLang="ja-JP" sz="1100" i="1">
                                    <a:solidFill>
                                      <a:schemeClr val="tx1"/>
                                    </a:solidFill>
                                    <a:effectLst/>
                                    <a:latin typeface="Cambria Math" panose="02040503050406030204" pitchFamily="18" charset="0"/>
                                    <a:ea typeface="+mn-ea"/>
                                    <a:cs typeface="+mn-cs"/>
                                  </a:rPr>
                                </m:ctrlPr>
                              </m:sSubPr>
                              <m:e>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𝑊</m:t>
                                    </m:r>
                                  </m:e>
                                  <m:sub>
                                    <m:r>
                                      <m:rPr>
                                        <m:sty m:val="p"/>
                                      </m:rPr>
                                      <a:rPr kumimoji="1" lang="en-US" altLang="ja-JP" sz="1100" i="1">
                                        <a:solidFill>
                                          <a:schemeClr val="tx1"/>
                                        </a:solidFill>
                                        <a:effectLst/>
                                        <a:latin typeface="Cambria Math" panose="02040503050406030204" pitchFamily="18" charset="0"/>
                                        <a:ea typeface="+mn-ea"/>
                                        <a:cs typeface="+mn-cs"/>
                                      </a:rPr>
                                      <m:t>d</m:t>
                                    </m:r>
                                  </m:sub>
                                </m:sSub>
                                <m:r>
                                  <a:rPr kumimoji="1" lang="en-US" altLang="ja-JP" sz="1100" i="1">
                                    <a:solidFill>
                                      <a:schemeClr val="tx1"/>
                                    </a:solidFill>
                                    <a:effectLst/>
                                    <a:latin typeface="Cambria Math" panose="02040503050406030204" pitchFamily="18" charset="0"/>
                                    <a:ea typeface="+mn-ea"/>
                                    <a:cs typeface="+mn-cs"/>
                                  </a:rPr>
                                  <m:t>𝐴</m:t>
                                </m:r>
                              </m:e>
                              <m:sub>
                                <m:r>
                                  <a:rPr kumimoji="1" lang="en-US" altLang="ja-JP" sz="1100" b="0" i="1">
                                    <a:solidFill>
                                      <a:schemeClr val="tx1"/>
                                    </a:solidFill>
                                    <a:effectLst/>
                                    <a:latin typeface="Cambria Math" panose="02040503050406030204" pitchFamily="18" charset="0"/>
                                    <a:ea typeface="+mn-ea"/>
                                    <a:cs typeface="+mn-cs"/>
                                  </a:rPr>
                                  <m:t>𝑒</m:t>
                                </m:r>
                              </m:sub>
                            </m:sSub>
                          </m:num>
                          <m:den>
                            <m:d>
                              <m:dPr>
                                <m:ctrlPr>
                                  <a:rPr kumimoji="1" lang="en-US" altLang="ja-JP" sz="1100" i="1">
                                    <a:solidFill>
                                      <a:schemeClr val="tx1"/>
                                    </a:solidFill>
                                    <a:effectLst/>
                                    <a:latin typeface="Cambria Math" panose="02040503050406030204" pitchFamily="18" charset="0"/>
                                    <a:ea typeface="+mn-ea"/>
                                    <a:cs typeface="+mn-cs"/>
                                  </a:rPr>
                                </m:ctrlPr>
                              </m:dPr>
                              <m:e>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1.1</m:t>
                                    </m:r>
                                  </m:num>
                                  <m:den>
                                    <m:r>
                                      <a:rPr kumimoji="1" lang="en-US" altLang="ja-JP" sz="1100" b="0" i="1">
                                        <a:solidFill>
                                          <a:schemeClr val="tx1"/>
                                        </a:solidFill>
                                        <a:effectLst/>
                                        <a:latin typeface="Cambria Math" panose="02040503050406030204" pitchFamily="18" charset="0"/>
                                        <a:ea typeface="+mn-ea"/>
                                        <a:cs typeface="+mn-cs"/>
                                      </a:rPr>
                                      <m:t>3</m:t>
                                    </m:r>
                                  </m:den>
                                </m:f>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𝐹</m:t>
                                    </m:r>
                                  </m:e>
                                  <m:sub>
                                    <m:r>
                                      <a:rPr kumimoji="1" lang="en-US" altLang="ja-JP" sz="1100" b="0" i="1">
                                        <a:solidFill>
                                          <a:schemeClr val="tx1"/>
                                        </a:solidFill>
                                        <a:effectLst/>
                                        <a:latin typeface="Cambria Math" panose="02040503050406030204" pitchFamily="18" charset="0"/>
                                        <a:ea typeface="+mn-ea"/>
                                        <a:cs typeface="+mn-cs"/>
                                      </a:rPr>
                                      <m:t>𝐶</m:t>
                                    </m:r>
                                  </m:sub>
                                </m:sSub>
                              </m:e>
                            </m:d>
                          </m:den>
                        </m:f>
                      </m:e>
                    </m:rad>
                  </m:oMath>
                </m:oMathPara>
              </a14:m>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Choice>
      <mc:Fallback xmlns="">
        <xdr:sp macro="" textlink="">
          <xdr:nvSpPr>
            <xdr:cNvPr id="14" name="テキスト ボックス 13">
              <a:extLst>
                <a:ext uri="{FF2B5EF4-FFF2-40B4-BE49-F238E27FC236}">
                  <a16:creationId xmlns:a16="http://schemas.microsoft.com/office/drawing/2014/main" id="{8A8F7CD8-6882-44C2-BD88-395B4FDEAAB8}"/>
                </a:ext>
              </a:extLst>
            </xdr:cNvPr>
            <xdr:cNvSpPr txBox="1"/>
          </xdr:nvSpPr>
          <xdr:spPr>
            <a:xfrm>
              <a:off x="281939" y="41946195"/>
              <a:ext cx="5063967" cy="836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r>
                <a:rPr kumimoji="1" lang="en-US" altLang="ja-JP" sz="1100" i="0">
                  <a:latin typeface="Cambria Math" panose="02040503050406030204" pitchFamily="18" charset="0"/>
                </a:rPr>
                <a:t>√(</a:t>
              </a:r>
              <a:r>
                <a:rPr kumimoji="1" lang="en-US" altLang="ja-JP" sz="1100" i="0">
                  <a:solidFill>
                    <a:schemeClr val="tx1"/>
                  </a:solidFill>
                  <a:effectLst/>
                  <a:latin typeface="Cambria Math" panose="02040503050406030204" pitchFamily="18" charset="0"/>
                  <a:ea typeface="+mn-ea"/>
                  <a:cs typeface="+mn-cs"/>
                </a:rPr>
                <a:t>〖𝑊_𝑑 𝐴〗_</a:t>
              </a:r>
              <a:r>
                <a:rPr kumimoji="1" lang="en-US" altLang="ja-JP" sz="1100" b="0" i="0">
                  <a:solidFill>
                    <a:schemeClr val="tx1"/>
                  </a:solidFill>
                  <a:effectLst/>
                  <a:latin typeface="Cambria Math" panose="02040503050406030204" pitchFamily="18" charset="0"/>
                  <a:ea typeface="+mn-ea"/>
                  <a:cs typeface="+mn-cs"/>
                </a:rPr>
                <a:t>𝑒/((</a:t>
              </a:r>
              <a:r>
                <a:rPr kumimoji="1" lang="en-US" altLang="ja-JP" sz="1100" i="0">
                  <a:latin typeface="Cambria Math" panose="02040503050406030204" pitchFamily="18" charset="0"/>
                </a:rPr>
                <a:t>1.1/</a:t>
              </a:r>
              <a:r>
                <a:rPr kumimoji="1" lang="en-US" altLang="ja-JP" sz="1100" b="0" i="0">
                  <a:latin typeface="Cambria Math" panose="02040503050406030204" pitchFamily="18" charset="0"/>
                </a:rPr>
                <a:t>3 𝐹_𝐶 ) ))</a:t>
              </a:r>
              <a:r>
                <a:rPr kumimoji="1" lang="en-US" altLang="ja-JP" sz="1100" i="0">
                  <a:latin typeface="Cambria Math" panose="02040503050406030204" pitchFamily="18" charset="0"/>
                  <a:ea typeface="Cambria Math" panose="02040503050406030204" pitchFamily="18" charset="0"/>
                </a:rPr>
                <a:t>&lt;</a:t>
              </a:r>
              <a:r>
                <a:rPr kumimoji="1" lang="en-US" altLang="ja-JP" sz="1100" b="0" i="0">
                  <a:latin typeface="Cambria Math" panose="02040503050406030204" pitchFamily="18" charset="0"/>
                  <a:ea typeface="Cambria Math" panose="02040503050406030204" pitchFamily="18" charset="0"/>
                </a:rPr>
                <a:t>𝑙/52.70 </a:t>
              </a:r>
              <a:r>
                <a:rPr kumimoji="1" lang="en-US" altLang="ja-JP" sz="1100" i="0">
                  <a:latin typeface="Cambria Math" panose="02040503050406030204" pitchFamily="18" charset="0"/>
                  <a:ea typeface="Cambria Math" panose="02040503050406030204" pitchFamily="18" charset="0"/>
                </a:rPr>
                <a:t>(</a:t>
              </a:r>
              <a:r>
                <a:rPr kumimoji="1" lang="en-US" altLang="ja-JP" sz="1100" b="0" i="0">
                  <a:latin typeface="Cambria Math" panose="02040503050406030204" pitchFamily="18" charset="0"/>
                  <a:ea typeface="Cambria Math" panose="02040503050406030204" pitchFamily="18" charset="0"/>
                </a:rPr>
                <a:t>=𝑑_𝑒/𝑙&lt;1/28.87)   :         </a:t>
              </a:r>
              <a:r>
                <a:rPr kumimoji="1" lang="ja-JP" altLang="en-US"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Cambria Math" panose="02040503050406030204" pitchFamily="18" charset="0"/>
                </a:rPr>
                <a:t>     </a:t>
              </a:r>
              <a:r>
                <a:rPr kumimoji="1" lang="ja-JP" altLang="en-US"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Cambria Math" panose="02040503050406030204" pitchFamily="18" charset="0"/>
                </a:rPr>
                <a:t>      𝑑_𝑏𝑒=∜((12𝑙^2)/3000</a:t>
              </a:r>
              <a:r>
                <a:rPr kumimoji="1" lang="ja-JP" altLang="en-US" sz="1100" b="0" i="0">
                  <a:latin typeface="Cambria Math" panose="02040503050406030204" pitchFamily="18" charset="0"/>
                  <a:ea typeface="Cambria Math" panose="02040503050406030204" pitchFamily="18" charset="0"/>
                </a:rPr>
                <a:t>・</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i="0">
                  <a:solidFill>
                    <a:schemeClr val="tx1"/>
                  </a:solidFill>
                  <a:effectLst/>
                  <a:latin typeface="Cambria Math" panose="02040503050406030204" pitchFamily="18" charset="0"/>
                  <a:ea typeface="+mn-ea"/>
                  <a:cs typeface="+mn-cs"/>
                </a:rPr>
                <a:t>𝑊_d 𝐴〗_</a:t>
              </a:r>
              <a:r>
                <a:rPr kumimoji="1" lang="en-US" altLang="ja-JP" sz="1100" b="0" i="0">
                  <a:solidFill>
                    <a:schemeClr val="tx1"/>
                  </a:solidFill>
                  <a:effectLst/>
                  <a:latin typeface="Cambria Math" panose="02040503050406030204" pitchFamily="18" charset="0"/>
                  <a:ea typeface="+mn-ea"/>
                  <a:cs typeface="+mn-cs"/>
                </a:rPr>
                <a:t>𝑒/((</a:t>
              </a:r>
              <a:r>
                <a:rPr kumimoji="1" lang="en-US" altLang="ja-JP" sz="1100" i="0">
                  <a:solidFill>
                    <a:schemeClr val="tx1"/>
                  </a:solidFill>
                  <a:effectLst/>
                  <a:latin typeface="Cambria Math" panose="02040503050406030204" pitchFamily="18" charset="0"/>
                  <a:ea typeface="+mn-ea"/>
                  <a:cs typeface="+mn-cs"/>
                </a:rPr>
                <a:t>1.1/</a:t>
              </a:r>
              <a:r>
                <a:rPr kumimoji="1" lang="en-US" altLang="ja-JP" sz="1100" b="0" i="0">
                  <a:solidFill>
                    <a:schemeClr val="tx1"/>
                  </a:solidFill>
                  <a:effectLst/>
                  <a:latin typeface="Cambria Math" panose="02040503050406030204" pitchFamily="18" charset="0"/>
                  <a:ea typeface="+mn-ea"/>
                  <a:cs typeface="+mn-cs"/>
                </a:rPr>
                <a:t>3 𝐹_𝐶 ) )</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a:t>
              </a:r>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Fallback>
    </mc:AlternateContent>
    <xdr:clientData/>
  </xdr:oneCellAnchor>
  <xdr:twoCellAnchor>
    <xdr:from>
      <xdr:col>0</xdr:col>
      <xdr:colOff>129540</xdr:colOff>
      <xdr:row>135</xdr:row>
      <xdr:rowOff>7620</xdr:rowOff>
    </xdr:from>
    <xdr:to>
      <xdr:col>1</xdr:col>
      <xdr:colOff>30480</xdr:colOff>
      <xdr:row>146</xdr:row>
      <xdr:rowOff>60960</xdr:rowOff>
    </xdr:to>
    <xdr:sp macro="" textlink="">
      <xdr:nvSpPr>
        <xdr:cNvPr id="19" name="左中かっこ 18">
          <a:extLst>
            <a:ext uri="{FF2B5EF4-FFF2-40B4-BE49-F238E27FC236}">
              <a16:creationId xmlns:a16="http://schemas.microsoft.com/office/drawing/2014/main" id="{00000000-0008-0000-0500-000013000000}"/>
            </a:ext>
          </a:extLst>
        </xdr:cNvPr>
        <xdr:cNvSpPr/>
      </xdr:nvSpPr>
      <xdr:spPr>
        <a:xfrm>
          <a:off x="129540" y="40088820"/>
          <a:ext cx="224790" cy="267271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0</xdr:colOff>
      <xdr:row>126</xdr:row>
      <xdr:rowOff>0</xdr:rowOff>
    </xdr:from>
    <xdr:ext cx="4236720" cy="408317"/>
    <mc:AlternateContent xmlns:mc="http://schemas.openxmlformats.org/markup-compatibility/2006" xmlns:a14="http://schemas.microsoft.com/office/drawing/2010/main">
      <mc:Choice Requires="a14">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323850" y="37547550"/>
              <a:ext cx="4236720" cy="408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14:m>
                <m:oMath xmlns:m="http://schemas.openxmlformats.org/officeDocument/2006/math">
                  <m:sSub>
                    <m:sSubPr>
                      <m:ctrlPr>
                        <a:rPr kumimoji="1" lang="en-US" altLang="ja-JP" sz="1100" b="0" i="1">
                          <a:latin typeface="Cambria Math" panose="02040503050406030204" pitchFamily="18" charset="0"/>
                          <a:ea typeface="Cambria Math" panose="02040503050406030204" pitchFamily="18" charset="0"/>
                        </a:rPr>
                      </m:ctrlPr>
                    </m:sSubPr>
                    <m:e>
                      <m:r>
                        <a:rPr kumimoji="1" lang="en-US" altLang="ja-JP" sz="1100" b="0" i="1">
                          <a:latin typeface="Cambria Math" panose="02040503050406030204" pitchFamily="18" charset="0"/>
                          <a:ea typeface="Cambria Math" panose="02040503050406030204" pitchFamily="18" charset="0"/>
                        </a:rPr>
                        <m:t>𝑑</m:t>
                      </m:r>
                    </m:e>
                    <m:sub>
                      <m:r>
                        <a:rPr kumimoji="1" lang="en-US" altLang="ja-JP" sz="1100" b="0" i="1">
                          <a:latin typeface="Cambria Math" panose="02040503050406030204" pitchFamily="18" charset="0"/>
                          <a:ea typeface="Cambria Math" panose="02040503050406030204" pitchFamily="18" charset="0"/>
                        </a:rPr>
                        <m:t>𝑒</m:t>
                      </m:r>
                    </m:sub>
                  </m:sSub>
                  <m:r>
                    <a:rPr kumimoji="1" lang="en-US" altLang="ja-JP" sz="1100" b="0" i="1">
                      <a:latin typeface="Cambria Math" panose="02040503050406030204" pitchFamily="18" charset="0"/>
                      <a:ea typeface="Cambria Math" panose="02040503050406030204" pitchFamily="18" charset="0"/>
                    </a:rPr>
                    <m:t>=</m:t>
                  </m:r>
                </m:oMath>
              </a14:m>
              <a:r>
                <a:rPr kumimoji="1" lang="en-US" altLang="ja-JP" sz="1100" b="0">
                  <a:solidFill>
                    <a:schemeClr val="tx1"/>
                  </a:solidFill>
                  <a:effectLst/>
                  <a:ea typeface="+mn-ea"/>
                  <a:cs typeface="+mn-cs"/>
                </a:rPr>
                <a:t>Max(</a:t>
              </a:r>
              <a14:m>
                <m:oMath xmlns:m="http://schemas.openxmlformats.org/officeDocument/2006/math">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𝑑</m:t>
                      </m:r>
                    </m:e>
                    <m:sub>
                      <m:r>
                        <a:rPr kumimoji="1" lang="en-US" altLang="ja-JP" sz="1100" b="0" i="1">
                          <a:solidFill>
                            <a:schemeClr val="tx1"/>
                          </a:solidFill>
                          <a:effectLst/>
                          <a:latin typeface="Cambria Math" panose="02040503050406030204" pitchFamily="18" charset="0"/>
                          <a:ea typeface="+mn-ea"/>
                          <a:cs typeface="+mn-cs"/>
                        </a:rPr>
                        <m:t>𝑏𝑒</m:t>
                      </m:r>
                    </m:sub>
                  </m:sSub>
                </m:oMath>
              </a14:m>
              <a:r>
                <a:rPr kumimoji="1" lang="ja-JP" altLang="en-US" sz="1100" b="0">
                  <a:solidFill>
                    <a:schemeClr val="tx1"/>
                  </a:solidFill>
                  <a:effectLst/>
                  <a:ea typeface="+mn-ea"/>
                  <a:cs typeface="+mn-cs"/>
                </a:rPr>
                <a:t>，</a:t>
              </a:r>
              <a14:m>
                <m:oMath xmlns:m="http://schemas.openxmlformats.org/officeDocument/2006/math">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𝑑</m:t>
                      </m:r>
                    </m:e>
                    <m:sub>
                      <m:r>
                        <a:rPr kumimoji="1" lang="en-US" altLang="ja-JP" sz="1100" b="0" i="1">
                          <a:solidFill>
                            <a:schemeClr val="tx1"/>
                          </a:solidFill>
                          <a:effectLst/>
                          <a:latin typeface="Cambria Math" panose="02040503050406030204" pitchFamily="18" charset="0"/>
                          <a:ea typeface="+mn-ea"/>
                          <a:cs typeface="+mn-cs"/>
                        </a:rPr>
                        <m:t>𝑠𝑒</m:t>
                      </m:r>
                    </m:sub>
                  </m:sSub>
                </m:oMath>
              </a14:m>
              <a:r>
                <a:rPr kumimoji="1" lang="en-US" altLang="ja-JP" sz="1100" b="0">
                  <a:solidFill>
                    <a:schemeClr val="tx1"/>
                  </a:solidFill>
                  <a:effectLst/>
                  <a:ea typeface="+mn-ea"/>
                  <a:cs typeface="+mn-cs"/>
                </a:rPr>
                <a:t>)</a:t>
              </a:r>
            </a:p>
            <a:p>
              <a:pPr algn="l"/>
              <a:r>
                <a:rPr kumimoji="1" lang="en-US" altLang="ja-JP" sz="1100"/>
                <a:t> </a:t>
              </a:r>
              <a:endParaRPr kumimoji="1" lang="ja-JP" altLang="en-US" sz="1100"/>
            </a:p>
          </xdr:txBody>
        </xdr:sp>
      </mc:Choice>
      <mc:Fallback xmlns="">
        <xdr:sp macro="" textlink="">
          <xdr:nvSpPr>
            <xdr:cNvPr id="20" name="テキスト ボックス 19">
              <a:extLst>
                <a:ext uri="{FF2B5EF4-FFF2-40B4-BE49-F238E27FC236}">
                  <a16:creationId xmlns:a16="http://schemas.microsoft.com/office/drawing/2014/main" id="{A8AC78DB-2C27-47C1-AD72-069A771E179C}"/>
                </a:ext>
              </a:extLst>
            </xdr:cNvPr>
            <xdr:cNvSpPr txBox="1"/>
          </xdr:nvSpPr>
          <xdr:spPr>
            <a:xfrm>
              <a:off x="323850" y="37547550"/>
              <a:ext cx="4236720" cy="408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r>
                <a:rPr kumimoji="1" lang="en-US" altLang="ja-JP" sz="1100" b="0" i="0">
                  <a:latin typeface="Cambria Math" panose="02040503050406030204" pitchFamily="18" charset="0"/>
                  <a:ea typeface="Cambria Math" panose="02040503050406030204" pitchFamily="18" charset="0"/>
                </a:rPr>
                <a:t>𝑑_𝑒=</a:t>
              </a:r>
              <a:r>
                <a:rPr kumimoji="1" lang="en-US" altLang="ja-JP" sz="1100" b="0">
                  <a:solidFill>
                    <a:schemeClr val="tx1"/>
                  </a:solidFill>
                  <a:effectLst/>
                  <a:ea typeface="+mn-ea"/>
                  <a:cs typeface="+mn-cs"/>
                </a:rPr>
                <a:t>Max(</a:t>
              </a:r>
              <a:r>
                <a:rPr kumimoji="1" lang="en-US" altLang="ja-JP" sz="1100" b="0" i="0">
                  <a:solidFill>
                    <a:schemeClr val="tx1"/>
                  </a:solidFill>
                  <a:effectLst/>
                  <a:latin typeface="Cambria Math" panose="02040503050406030204" pitchFamily="18" charset="0"/>
                  <a:ea typeface="+mn-ea"/>
                  <a:cs typeface="+mn-cs"/>
                </a:rPr>
                <a:t>𝑑_𝑏𝑒</a:t>
              </a:r>
              <a:r>
                <a:rPr kumimoji="1" lang="ja-JP" altLang="en-US" sz="1100" b="0">
                  <a:solidFill>
                    <a:schemeClr val="tx1"/>
                  </a:solidFill>
                  <a:effectLst/>
                  <a:ea typeface="+mn-ea"/>
                  <a:cs typeface="+mn-cs"/>
                </a:rPr>
                <a:t>，</a:t>
              </a:r>
              <a:r>
                <a:rPr kumimoji="1" lang="en-US" altLang="ja-JP" sz="1100" b="0" i="0">
                  <a:solidFill>
                    <a:schemeClr val="tx1"/>
                  </a:solidFill>
                  <a:effectLst/>
                  <a:latin typeface="Cambria Math" panose="02040503050406030204" pitchFamily="18" charset="0"/>
                  <a:ea typeface="+mn-ea"/>
                  <a:cs typeface="+mn-cs"/>
                </a:rPr>
                <a:t>𝑑_𝑠𝑒</a:t>
              </a:r>
              <a:r>
                <a:rPr kumimoji="1" lang="en-US" altLang="ja-JP" sz="1100" b="0">
                  <a:solidFill>
                    <a:schemeClr val="tx1"/>
                  </a:solidFill>
                  <a:effectLst/>
                  <a:ea typeface="+mn-ea"/>
                  <a:cs typeface="+mn-cs"/>
                </a:rPr>
                <a:t>)</a:t>
              </a:r>
            </a:p>
            <a:p>
              <a:pPr algn="l"/>
              <a:r>
                <a:rPr kumimoji="1" lang="en-US" altLang="ja-JP" sz="1100"/>
                <a:t> </a:t>
              </a:r>
              <a:endParaRPr kumimoji="1" lang="ja-JP" altLang="en-US" sz="1100"/>
            </a:p>
          </xdr:txBody>
        </xdr:sp>
      </mc:Fallback>
    </mc:AlternateContent>
    <xdr:clientData/>
  </xdr:oneCellAnchor>
  <xdr:oneCellAnchor>
    <xdr:from>
      <xdr:col>0</xdr:col>
      <xdr:colOff>267890</xdr:colOff>
      <xdr:row>155</xdr:row>
      <xdr:rowOff>93423</xdr:rowOff>
    </xdr:from>
    <xdr:ext cx="1071563" cy="528927"/>
    <mc:AlternateContent xmlns:mc="http://schemas.openxmlformats.org/markup-compatibility/2006" xmlns:a14="http://schemas.microsoft.com/office/drawing/2010/main">
      <mc:Choice Requires="a14">
        <xdr:sp macro="" textlink="">
          <xdr:nvSpPr>
            <xdr:cNvPr id="21" name="テキスト ボックス 20">
              <a:extLst>
                <a:ext uri="{FF2B5EF4-FFF2-40B4-BE49-F238E27FC236}">
                  <a16:creationId xmlns:a16="http://schemas.microsoft.com/office/drawing/2014/main" id="{00000000-0008-0000-0500-000015000000}"/>
                </a:ext>
              </a:extLst>
            </xdr:cNvPr>
            <xdr:cNvSpPr txBox="1"/>
          </xdr:nvSpPr>
          <xdr:spPr>
            <a:xfrm>
              <a:off x="267890" y="45670548"/>
              <a:ext cx="1071563" cy="5289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ea typeface="Cambria Math" panose="02040503050406030204" pitchFamily="18" charset="0"/>
                          </a:rPr>
                        </m:ctrlPr>
                      </m:sSubPr>
                      <m:e>
                        <m:r>
                          <a:rPr kumimoji="1" lang="en-US" altLang="ja-JP" sz="1100" b="0" i="1">
                            <a:latin typeface="Cambria Math" panose="02040503050406030204" pitchFamily="18" charset="0"/>
                            <a:ea typeface="Cambria Math" panose="02040503050406030204" pitchFamily="18" charset="0"/>
                          </a:rPr>
                          <m:t>𝑑</m:t>
                        </m:r>
                      </m:e>
                      <m:sub>
                        <m:r>
                          <m:rPr>
                            <m:sty m:val="p"/>
                          </m:rPr>
                          <a:rPr kumimoji="1" lang="en-US" altLang="ja-JP" sz="1100" b="0" i="1">
                            <a:latin typeface="Cambria Math" panose="02040503050406030204" pitchFamily="18" charset="0"/>
                            <a:ea typeface="Cambria Math" panose="02040503050406030204" pitchFamily="18" charset="0"/>
                          </a:rPr>
                          <m:t>s</m:t>
                        </m:r>
                        <m:r>
                          <a:rPr kumimoji="1" lang="en-US" altLang="ja-JP" sz="1100" b="0" i="1">
                            <a:latin typeface="Cambria Math" panose="02040503050406030204" pitchFamily="18" charset="0"/>
                            <a:ea typeface="Cambria Math" panose="02040503050406030204" pitchFamily="18" charset="0"/>
                          </a:rPr>
                          <m:t>𝑒</m:t>
                        </m:r>
                      </m:sub>
                    </m:sSub>
                    <m:r>
                      <a:rPr kumimoji="1" lang="en-US" altLang="ja-JP" sz="1100" b="0" i="1">
                        <a:latin typeface="Cambria Math" panose="02040503050406030204" pitchFamily="18" charset="0"/>
                        <a:ea typeface="Cambria Math" panose="02040503050406030204" pitchFamily="18" charset="0"/>
                      </a:rPr>
                      <m:t>=</m:t>
                    </m:r>
                    <m:f>
                      <m:fPr>
                        <m:ctrlPr>
                          <a:rPr kumimoji="1" lang="en-US" altLang="ja-JP" sz="1100" b="0" i="1">
                            <a:latin typeface="Cambria Math" panose="02040503050406030204" pitchFamily="18" charset="0"/>
                            <a:ea typeface="Cambria Math" panose="02040503050406030204" pitchFamily="18" charset="0"/>
                          </a:rPr>
                        </m:ctrlPr>
                      </m:fPr>
                      <m:num>
                        <m:rad>
                          <m:radPr>
                            <m:degHide m:val="on"/>
                            <m:ctrlPr>
                              <a:rPr kumimoji="1" lang="en-US" altLang="ja-JP" sz="1100" b="0" i="1">
                                <a:latin typeface="Cambria Math" panose="02040503050406030204" pitchFamily="18" charset="0"/>
                                <a:ea typeface="Cambria Math" panose="02040503050406030204" pitchFamily="18" charset="0"/>
                              </a:rPr>
                            </m:ctrlPr>
                          </m:radPr>
                          <m:deg/>
                          <m:e>
                            <m:r>
                              <a:rPr kumimoji="1" lang="en-US" altLang="ja-JP" sz="1100" b="0" i="1">
                                <a:latin typeface="Cambria Math" panose="02040503050406030204" pitchFamily="18" charset="0"/>
                                <a:ea typeface="Cambria Math" panose="02040503050406030204" pitchFamily="18" charset="0"/>
                              </a:rPr>
                              <m:t>12</m:t>
                            </m:r>
                          </m:e>
                        </m:rad>
                      </m:num>
                      <m:den>
                        <m:r>
                          <a:rPr kumimoji="1" lang="en-US" altLang="ja-JP" sz="1100" b="0" i="1">
                            <a:latin typeface="Cambria Math" panose="02040503050406030204" pitchFamily="18" charset="0"/>
                            <a:ea typeface="Cambria Math" panose="02040503050406030204" pitchFamily="18" charset="0"/>
                          </a:rPr>
                          <m:t>150</m:t>
                        </m:r>
                      </m:den>
                    </m:f>
                    <m:r>
                      <a:rPr kumimoji="1" lang="en-US" altLang="ja-JP" sz="1100" b="0" i="1">
                        <a:solidFill>
                          <a:schemeClr val="tx1"/>
                        </a:solidFill>
                        <a:effectLst/>
                        <a:latin typeface="Cambria Math" panose="02040503050406030204" pitchFamily="18" charset="0"/>
                        <a:ea typeface="+mn-ea"/>
                        <a:cs typeface="+mn-cs"/>
                      </a:rPr>
                      <m:t>𝑙</m:t>
                    </m:r>
                  </m:oMath>
                </m:oMathPara>
              </a14:m>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Choice>
      <mc:Fallback xmlns="">
        <xdr:sp macro="" textlink="">
          <xdr:nvSpPr>
            <xdr:cNvPr id="21" name="テキスト ボックス 20">
              <a:extLst>
                <a:ext uri="{FF2B5EF4-FFF2-40B4-BE49-F238E27FC236}">
                  <a16:creationId xmlns:a16="http://schemas.microsoft.com/office/drawing/2014/main" id="{64157082-285D-4E36-BF6A-C67FCDF8549A}"/>
                </a:ext>
              </a:extLst>
            </xdr:cNvPr>
            <xdr:cNvSpPr txBox="1"/>
          </xdr:nvSpPr>
          <xdr:spPr>
            <a:xfrm>
              <a:off x="267890" y="45670548"/>
              <a:ext cx="1071563" cy="5289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r>
                <a:rPr kumimoji="1" lang="en-US" altLang="ja-JP" sz="1100" b="0" i="0">
                  <a:latin typeface="Cambria Math" panose="02040503050406030204" pitchFamily="18" charset="0"/>
                  <a:ea typeface="Cambria Math" panose="02040503050406030204" pitchFamily="18" charset="0"/>
                </a:rPr>
                <a:t>𝑑_s𝑒=√12/150</a:t>
              </a:r>
              <a:r>
                <a:rPr kumimoji="1" lang="en-US" altLang="ja-JP" sz="1100" b="0" i="0">
                  <a:solidFill>
                    <a:schemeClr val="tx1"/>
                  </a:solidFill>
                  <a:effectLst/>
                  <a:latin typeface="Cambria Math" panose="02040503050406030204" pitchFamily="18" charset="0"/>
                  <a:ea typeface="+mn-ea"/>
                  <a:cs typeface="+mn-cs"/>
                </a:rPr>
                <a:t> 𝑙</a:t>
              </a:r>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Fallback>
    </mc:AlternateContent>
    <xdr:clientData/>
  </xdr:oneCellAnchor>
  <xdr:twoCellAnchor>
    <xdr:from>
      <xdr:col>5</xdr:col>
      <xdr:colOff>634365</xdr:colOff>
      <xdr:row>31</xdr:row>
      <xdr:rowOff>220980</xdr:rowOff>
    </xdr:from>
    <xdr:to>
      <xdr:col>9</xdr:col>
      <xdr:colOff>130266</xdr:colOff>
      <xdr:row>39</xdr:row>
      <xdr:rowOff>169545</xdr:rowOff>
    </xdr:to>
    <xdr:grpSp>
      <xdr:nvGrpSpPr>
        <xdr:cNvPr id="7" name="グループ化 6">
          <a:extLst>
            <a:ext uri="{FF2B5EF4-FFF2-40B4-BE49-F238E27FC236}">
              <a16:creationId xmlns:a16="http://schemas.microsoft.com/office/drawing/2014/main" id="{00000000-0008-0000-0500-000007000000}"/>
            </a:ext>
          </a:extLst>
        </xdr:cNvPr>
        <xdr:cNvGrpSpPr>
          <a:grpSpLocks noChangeAspect="1"/>
        </xdr:cNvGrpSpPr>
      </xdr:nvGrpSpPr>
      <xdr:grpSpPr>
        <a:xfrm>
          <a:off x="3672840" y="9441180"/>
          <a:ext cx="4715601" cy="2586990"/>
          <a:chOff x="3505200" y="7848600"/>
          <a:chExt cx="4697666" cy="2548890"/>
        </a:xfrm>
      </xdr:grpSpPr>
      <xdr:pic>
        <xdr:nvPicPr>
          <xdr:cNvPr id="29" name="図 28">
            <a:extLst>
              <a:ext uri="{FF2B5EF4-FFF2-40B4-BE49-F238E27FC236}">
                <a16:creationId xmlns:a16="http://schemas.microsoft.com/office/drawing/2014/main" id="{00000000-0008-0000-05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7848600"/>
            <a:ext cx="4286250" cy="25488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5760720" y="7978140"/>
            <a:ext cx="2088932" cy="3436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r>
              <a:rPr kumimoji="1" lang="en-US" altLang="ja-JP" sz="1200" i="1"/>
              <a:t>G</a:t>
            </a:r>
            <a:r>
              <a:rPr kumimoji="1" lang="en-US" altLang="ja-JP" sz="1200" baseline="-25000"/>
              <a:t>r</a:t>
            </a:r>
            <a:r>
              <a:rPr kumimoji="1" lang="ja-JP" altLang="en-US" sz="1200"/>
              <a:t>＋</a:t>
            </a:r>
            <a:r>
              <a:rPr kumimoji="1" lang="en-US" altLang="ja-JP" sz="1200" i="1"/>
              <a:t>D</a:t>
            </a:r>
            <a:r>
              <a:rPr kumimoji="1" lang="en-US" altLang="ja-JP" sz="1200" baseline="-25000"/>
              <a:t>1</a:t>
            </a:r>
            <a:r>
              <a:rPr kumimoji="1" lang="ja-JP" altLang="en-US" sz="1200"/>
              <a:t>＋</a:t>
            </a:r>
            <a:r>
              <a:rPr kumimoji="1" lang="en-US" altLang="ja-JP" sz="1200" i="1"/>
              <a:t>D</a:t>
            </a:r>
            <a:r>
              <a:rPr kumimoji="1" lang="en-US" altLang="ja-JP" sz="1200" baseline="-25000"/>
              <a:t>2</a:t>
            </a:r>
            <a:r>
              <a:rPr kumimoji="1" lang="ja-JP" altLang="en-US" sz="1200"/>
              <a:t>）</a:t>
            </a:r>
            <a:r>
              <a:rPr kumimoji="1" lang="en-US" altLang="ja-JP" sz="1100">
                <a:solidFill>
                  <a:schemeClr val="tx1"/>
                </a:solidFill>
                <a:effectLst/>
                <a:latin typeface="+mn-lt"/>
                <a:ea typeface="+mn-ea"/>
                <a:cs typeface="+mn-cs"/>
              </a:rPr>
              <a:t>×max(</a:t>
            </a:r>
            <a:r>
              <a:rPr kumimoji="1" lang="en-US" altLang="ja-JP" sz="1100" i="1">
                <a:solidFill>
                  <a:schemeClr val="tx1"/>
                </a:solidFill>
                <a:effectLst/>
                <a:latin typeface="+mn-lt"/>
                <a:ea typeface="+mn-ea"/>
                <a:cs typeface="+mn-cs"/>
              </a:rPr>
              <a:t>A</a:t>
            </a:r>
            <a:r>
              <a:rPr kumimoji="1" lang="en-US" altLang="ja-JP" sz="1100" baseline="-25000">
                <a:solidFill>
                  <a:schemeClr val="tx1"/>
                </a:solidFill>
                <a:effectLst/>
                <a:latin typeface="+mn-lt"/>
                <a:ea typeface="+mn-ea"/>
                <a:cs typeface="+mn-cs"/>
              </a:rPr>
              <a:t>f1</a:t>
            </a:r>
            <a:r>
              <a:rPr kumimoji="1" lang="en-US" altLang="ja-JP" sz="1100">
                <a:solidFill>
                  <a:schemeClr val="tx1"/>
                </a:solidFill>
                <a:effectLst/>
                <a:latin typeface="+mn-lt"/>
                <a:ea typeface="+mn-ea"/>
                <a:cs typeface="+mn-cs"/>
              </a:rPr>
              <a:t>,</a:t>
            </a:r>
            <a:r>
              <a:rPr kumimoji="1" lang="en-US" altLang="ja-JP" sz="1100" i="1">
                <a:solidFill>
                  <a:schemeClr val="tx1"/>
                </a:solidFill>
                <a:effectLst/>
                <a:latin typeface="+mn-lt"/>
                <a:ea typeface="+mn-ea"/>
                <a:cs typeface="+mn-cs"/>
              </a:rPr>
              <a:t>A</a:t>
            </a:r>
            <a:r>
              <a:rPr kumimoji="1" lang="en-US" altLang="ja-JP" sz="1100" baseline="-25000">
                <a:solidFill>
                  <a:schemeClr val="tx1"/>
                </a:solidFill>
                <a:effectLst/>
                <a:latin typeface="+mn-lt"/>
                <a:ea typeface="+mn-ea"/>
                <a:cs typeface="+mn-cs"/>
              </a:rPr>
              <a:t>f2</a:t>
            </a:r>
            <a:r>
              <a:rPr kumimoji="1" lang="en-US" altLang="ja-JP" sz="1100" baseline="0">
                <a:solidFill>
                  <a:schemeClr val="tx1"/>
                </a:solidFill>
                <a:effectLst/>
                <a:latin typeface="+mn-lt"/>
                <a:ea typeface="+mn-ea"/>
                <a:cs typeface="+mn-cs"/>
              </a:rPr>
              <a:t>)</a:t>
            </a:r>
            <a:endParaRPr kumimoji="1" lang="ja-JP" altLang="en-US" sz="1200" baseline="-25000">
              <a:solidFill>
                <a:schemeClr val="tx1"/>
              </a:solidFill>
            </a:endParaRPr>
          </a:p>
        </xdr:txBody>
      </xdr:sp>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5867400" y="8557260"/>
            <a:ext cx="2082291" cy="3436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r>
              <a:rPr kumimoji="1" lang="en-US" altLang="ja-JP" sz="1200" i="1"/>
              <a:t>G</a:t>
            </a:r>
            <a:r>
              <a:rPr kumimoji="1" lang="en-US" altLang="ja-JP" sz="1200" baseline="-25000"/>
              <a:t>ow2</a:t>
            </a:r>
            <a:r>
              <a:rPr kumimoji="1" lang="ja-JP" altLang="en-US" sz="1200"/>
              <a:t>＋</a:t>
            </a:r>
            <a:r>
              <a:rPr kumimoji="1" lang="en-US" altLang="ja-JP" sz="1100" i="1">
                <a:solidFill>
                  <a:schemeClr val="tx1"/>
                </a:solidFill>
                <a:effectLst/>
                <a:latin typeface="+mn-lt"/>
                <a:ea typeface="+mn-ea"/>
                <a:cs typeface="+mn-cs"/>
              </a:rPr>
              <a:t>G</a:t>
            </a:r>
            <a:r>
              <a:rPr kumimoji="1" lang="en-US" altLang="ja-JP" sz="1100" baseline="-25000">
                <a:solidFill>
                  <a:schemeClr val="tx1"/>
                </a:solidFill>
                <a:effectLst/>
                <a:latin typeface="+mn-lt"/>
                <a:ea typeface="+mn-ea"/>
                <a:cs typeface="+mn-cs"/>
              </a:rPr>
              <a:t>ow2</a:t>
            </a:r>
            <a:r>
              <a:rPr kumimoji="1" lang="ja-JP" altLang="ja-JP" sz="1100">
                <a:solidFill>
                  <a:schemeClr val="tx1"/>
                </a:solidFill>
                <a:effectLst/>
                <a:latin typeface="+mn-lt"/>
                <a:ea typeface="+mn-ea"/>
                <a:cs typeface="+mn-cs"/>
              </a:rPr>
              <a:t>＋</a:t>
            </a:r>
            <a:r>
              <a:rPr kumimoji="1" lang="en-US" altLang="ja-JP" sz="1200" i="1"/>
              <a:t>D</a:t>
            </a:r>
            <a:r>
              <a:rPr kumimoji="1" lang="en-US" altLang="ja-JP" sz="1200" baseline="-25000"/>
              <a:t>3</a:t>
            </a:r>
            <a:r>
              <a:rPr kumimoji="1" lang="ja-JP" altLang="en-US" sz="1200"/>
              <a:t>＋</a:t>
            </a:r>
            <a:r>
              <a:rPr kumimoji="1" lang="en-US" altLang="ja-JP" sz="1200" i="1"/>
              <a:t>D</a:t>
            </a:r>
            <a:r>
              <a:rPr kumimoji="1" lang="en-US" altLang="ja-JP" sz="1200" baseline="-25000"/>
              <a:t>4</a:t>
            </a:r>
            <a:r>
              <a:rPr kumimoji="1" lang="ja-JP" altLang="en-US" sz="1200"/>
              <a:t>）</a:t>
            </a:r>
            <a:r>
              <a:rPr kumimoji="1" lang="en-US" altLang="ja-JP" sz="1200"/>
              <a:t>×</a:t>
            </a:r>
            <a:r>
              <a:rPr kumimoji="1" lang="en-US" altLang="ja-JP" sz="1200" i="1"/>
              <a:t>A</a:t>
            </a:r>
            <a:r>
              <a:rPr kumimoji="1" lang="en-US" altLang="ja-JP" sz="1200" baseline="-25000"/>
              <a:t>f2</a:t>
            </a:r>
            <a:endParaRPr kumimoji="1" lang="ja-JP" altLang="en-US" sz="1200" baseline="-25000"/>
          </a:p>
        </xdr:txBody>
      </xdr:sp>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5981700" y="9753600"/>
            <a:ext cx="2221166" cy="3436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0.5×(</a:t>
            </a:r>
            <a:r>
              <a:rPr kumimoji="1" lang="en-US" altLang="ja-JP" sz="1200" i="1"/>
              <a:t>G</a:t>
            </a:r>
            <a:r>
              <a:rPr kumimoji="1" lang="en-US" altLang="ja-JP" sz="1200" baseline="-25000"/>
              <a:t>ow1</a:t>
            </a:r>
            <a:r>
              <a:rPr kumimoji="1" lang="ja-JP" altLang="en-US" sz="1200"/>
              <a:t>＋</a:t>
            </a:r>
            <a:r>
              <a:rPr kumimoji="1" lang="en-US" altLang="ja-JP" sz="1200" i="1"/>
              <a:t>G</a:t>
            </a:r>
            <a:r>
              <a:rPr kumimoji="1" lang="en-US" altLang="ja-JP" sz="1200" baseline="-25000"/>
              <a:t>iw1</a:t>
            </a:r>
            <a:r>
              <a:rPr kumimoji="1" lang="ja-JP" altLang="en-US" sz="1200"/>
              <a:t>＋</a:t>
            </a:r>
            <a:r>
              <a:rPr kumimoji="1" lang="en-US" altLang="ja-JP" sz="1200" i="1"/>
              <a:t>D</a:t>
            </a:r>
            <a:r>
              <a:rPr kumimoji="1" lang="en-US" altLang="ja-JP" sz="1200" baseline="-25000"/>
              <a:t>3</a:t>
            </a:r>
            <a:r>
              <a:rPr kumimoji="1" lang="ja-JP" altLang="en-US" sz="1200"/>
              <a:t>＋</a:t>
            </a:r>
            <a:r>
              <a:rPr kumimoji="1" lang="en-US" altLang="ja-JP" sz="1200" i="1"/>
              <a:t>D</a:t>
            </a:r>
            <a:r>
              <a:rPr kumimoji="1" lang="en-US" altLang="ja-JP" sz="1200" baseline="-25000"/>
              <a:t>4</a:t>
            </a:r>
            <a:r>
              <a:rPr kumimoji="1" lang="en-US" altLang="ja-JP" sz="1200"/>
              <a:t>)×</a:t>
            </a:r>
            <a:r>
              <a:rPr kumimoji="1" lang="en-US" altLang="ja-JP" sz="1200" i="1"/>
              <a:t>A</a:t>
            </a:r>
            <a:r>
              <a:rPr kumimoji="1" lang="en-US" altLang="ja-JP" sz="1200" baseline="-25000"/>
              <a:t>f1</a:t>
            </a:r>
            <a:endParaRPr kumimoji="1" lang="ja-JP" altLang="en-US" sz="1200" baseline="-25000"/>
          </a:p>
        </xdr:txBody>
      </xdr:sp>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5974080" y="9395460"/>
            <a:ext cx="1227270" cy="3436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r>
              <a:rPr kumimoji="1" lang="en-US" altLang="ja-JP" sz="1200" i="1"/>
              <a:t>G</a:t>
            </a:r>
            <a:r>
              <a:rPr kumimoji="1" lang="en-US" altLang="ja-JP" sz="1200" baseline="-25000"/>
              <a:t>f</a:t>
            </a:r>
            <a:r>
              <a:rPr kumimoji="1" lang="ja-JP" altLang="en-US" sz="1200"/>
              <a:t>＋</a:t>
            </a:r>
            <a:r>
              <a:rPr kumimoji="1" lang="en-US" altLang="ja-JP" sz="1200" i="1"/>
              <a:t>P</a:t>
            </a:r>
            <a:r>
              <a:rPr kumimoji="1" lang="en-US" altLang="ja-JP" sz="1200" baseline="-25000"/>
              <a:t>1</a:t>
            </a:r>
            <a:r>
              <a:rPr kumimoji="1" lang="ja-JP" altLang="en-US" sz="1200"/>
              <a:t>）</a:t>
            </a:r>
            <a:r>
              <a:rPr kumimoji="1" lang="en-US" altLang="ja-JP" sz="1200"/>
              <a:t>×</a:t>
            </a:r>
            <a:r>
              <a:rPr kumimoji="1" lang="en-US" altLang="ja-JP" sz="1200" i="1"/>
              <a:t>A</a:t>
            </a:r>
            <a:r>
              <a:rPr kumimoji="1" lang="en-US" altLang="ja-JP" sz="1200" baseline="-25000"/>
              <a:t>f2</a:t>
            </a:r>
            <a:endParaRPr kumimoji="1" lang="ja-JP" altLang="en-US" sz="1200" baseline="0"/>
          </a:p>
        </xdr:txBody>
      </xdr:sp>
    </xdr:grpSp>
    <xdr:clientData/>
  </xdr:twoCellAnchor>
  <xdr:twoCellAnchor editAs="oneCell">
    <xdr:from>
      <xdr:col>0</xdr:col>
      <xdr:colOff>0</xdr:colOff>
      <xdr:row>31</xdr:row>
      <xdr:rowOff>283845</xdr:rowOff>
    </xdr:from>
    <xdr:to>
      <xdr:col>5</xdr:col>
      <xdr:colOff>1007745</xdr:colOff>
      <xdr:row>38</xdr:row>
      <xdr:rowOff>274320</xdr:rowOff>
    </xdr:to>
    <xdr:pic>
      <xdr:nvPicPr>
        <xdr:cNvPr id="30" name="図 29">
          <a:extLst>
            <a:ext uri="{FF2B5EF4-FFF2-40B4-BE49-F238E27FC236}">
              <a16:creationId xmlns:a16="http://schemas.microsoft.com/office/drawing/2014/main" id="{00000000-0008-0000-0500-00001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418320"/>
          <a:ext cx="4042410" cy="2274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180975</xdr:colOff>
      <xdr:row>31</xdr:row>
      <xdr:rowOff>419100</xdr:rowOff>
    </xdr:from>
    <xdr:ext cx="1552733" cy="349776"/>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2105025" y="9553575"/>
          <a:ext cx="1552733"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r>
            <a:rPr kumimoji="1" lang="en-US" altLang="ja-JP" sz="1200" i="1"/>
            <a:t>G</a:t>
          </a:r>
          <a:r>
            <a:rPr kumimoji="1" lang="en-US" altLang="ja-JP" sz="1200" baseline="-25000"/>
            <a:t>r</a:t>
          </a:r>
          <a:r>
            <a:rPr kumimoji="1" lang="ja-JP" altLang="en-US" sz="1200"/>
            <a:t>＋</a:t>
          </a:r>
          <a:r>
            <a:rPr kumimoji="1" lang="en-US" altLang="ja-JP" sz="1200" i="1"/>
            <a:t>D</a:t>
          </a:r>
          <a:r>
            <a:rPr kumimoji="1" lang="en-US" altLang="ja-JP" sz="1200" baseline="-25000"/>
            <a:t>1</a:t>
          </a:r>
          <a:r>
            <a:rPr kumimoji="1" lang="ja-JP" altLang="en-US" sz="1200"/>
            <a:t>＋</a:t>
          </a:r>
          <a:r>
            <a:rPr kumimoji="1" lang="en-US" altLang="ja-JP" sz="1200" i="1"/>
            <a:t>D</a:t>
          </a:r>
          <a:r>
            <a:rPr kumimoji="1" lang="en-US" altLang="ja-JP" sz="1200" baseline="-25000"/>
            <a:t>2</a:t>
          </a:r>
          <a:r>
            <a:rPr kumimoji="1" lang="ja-JP" altLang="en-US" sz="1200"/>
            <a:t>）</a:t>
          </a:r>
          <a:r>
            <a:rPr kumimoji="1" lang="en-US" altLang="ja-JP" sz="1200"/>
            <a:t>×</a:t>
          </a:r>
          <a:r>
            <a:rPr kumimoji="1" lang="en-US" altLang="ja-JP" sz="1200" i="1"/>
            <a:t>A</a:t>
          </a:r>
          <a:r>
            <a:rPr kumimoji="1" lang="en-US" altLang="ja-JP" sz="1200" baseline="-25000"/>
            <a:t>f2</a:t>
          </a:r>
          <a:endParaRPr kumimoji="1" lang="ja-JP" altLang="en-US" sz="1200" baseline="-25000"/>
        </a:p>
      </xdr:txBody>
    </xdr:sp>
    <xdr:clientData/>
  </xdr:oneCellAnchor>
  <xdr:oneCellAnchor>
    <xdr:from>
      <xdr:col>4</xdr:col>
      <xdr:colOff>361950</xdr:colOff>
      <xdr:row>33</xdr:row>
      <xdr:rowOff>76200</xdr:rowOff>
    </xdr:from>
    <xdr:ext cx="2282548" cy="349776"/>
    <xdr:sp macro="" textlink="">
      <xdr:nvSpPr>
        <xdr:cNvPr id="32" name="テキスト ボックス 31">
          <a:extLst>
            <a:ext uri="{FF2B5EF4-FFF2-40B4-BE49-F238E27FC236}">
              <a16:creationId xmlns:a16="http://schemas.microsoft.com/office/drawing/2014/main" id="{00000000-0008-0000-0500-000020000000}"/>
            </a:ext>
          </a:extLst>
        </xdr:cNvPr>
        <xdr:cNvSpPr txBox="1"/>
      </xdr:nvSpPr>
      <xdr:spPr>
        <a:xfrm>
          <a:off x="2286000" y="10067925"/>
          <a:ext cx="2282548"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0.5×(</a:t>
          </a:r>
          <a:r>
            <a:rPr kumimoji="1" lang="en-US" altLang="ja-JP" sz="1200" i="1"/>
            <a:t>G</a:t>
          </a:r>
          <a:r>
            <a:rPr kumimoji="1" lang="en-US" altLang="ja-JP" sz="1200" baseline="-25000"/>
            <a:t>ow2</a:t>
          </a:r>
          <a:r>
            <a:rPr kumimoji="1" lang="ja-JP" altLang="en-US" sz="1200"/>
            <a:t>＋</a:t>
          </a:r>
          <a:r>
            <a:rPr kumimoji="1" lang="en-US" altLang="ja-JP" sz="1200" i="1"/>
            <a:t>G</a:t>
          </a:r>
          <a:r>
            <a:rPr kumimoji="1" lang="en-US" altLang="ja-JP" sz="1200" baseline="-25000"/>
            <a:t>iw2</a:t>
          </a:r>
          <a:r>
            <a:rPr kumimoji="1" lang="ja-JP" altLang="en-US" sz="1200"/>
            <a:t>＋</a:t>
          </a:r>
          <a:r>
            <a:rPr kumimoji="1" lang="en-US" altLang="ja-JP" sz="1200" i="1"/>
            <a:t>D</a:t>
          </a:r>
          <a:r>
            <a:rPr kumimoji="1" lang="en-US" altLang="ja-JP" sz="1200" baseline="-25000"/>
            <a:t>3</a:t>
          </a:r>
          <a:r>
            <a:rPr kumimoji="1" lang="ja-JP" altLang="en-US" sz="1200"/>
            <a:t>＋</a:t>
          </a:r>
          <a:r>
            <a:rPr kumimoji="1" lang="en-US" altLang="ja-JP" sz="1200" i="1"/>
            <a:t>D</a:t>
          </a:r>
          <a:r>
            <a:rPr kumimoji="1" lang="en-US" altLang="ja-JP" sz="1200" baseline="-25000"/>
            <a:t>4</a:t>
          </a:r>
          <a:r>
            <a:rPr kumimoji="1" lang="en-US" altLang="ja-JP" sz="1200"/>
            <a:t>)×</a:t>
          </a:r>
          <a:r>
            <a:rPr kumimoji="1" lang="en-US" altLang="ja-JP" sz="1200" i="1"/>
            <a:t>A</a:t>
          </a:r>
          <a:r>
            <a:rPr kumimoji="1" lang="en-US" altLang="ja-JP" sz="1200" baseline="-25000"/>
            <a:t>f2</a:t>
          </a:r>
          <a:endParaRPr kumimoji="1" lang="ja-JP" altLang="en-US" sz="1200" baseline="-25000"/>
        </a:p>
      </xdr:txBody>
    </xdr:sp>
    <xdr:clientData/>
  </xdr:oneCellAnchor>
  <xdr:twoCellAnchor editAs="oneCell">
    <xdr:from>
      <xdr:col>2</xdr:col>
      <xdr:colOff>108585</xdr:colOff>
      <xdr:row>42</xdr:row>
      <xdr:rowOff>106680</xdr:rowOff>
    </xdr:from>
    <xdr:to>
      <xdr:col>6</xdr:col>
      <xdr:colOff>579120</xdr:colOff>
      <xdr:row>49</xdr:row>
      <xdr:rowOff>125730</xdr:rowOff>
    </xdr:to>
    <xdr:pic>
      <xdr:nvPicPr>
        <xdr:cNvPr id="34" name="図 33">
          <a:extLst>
            <a:ext uri="{FF2B5EF4-FFF2-40B4-BE49-F238E27FC236}">
              <a16:creationId xmlns:a16="http://schemas.microsoft.com/office/drawing/2014/main" id="{00000000-0008-0000-0500-00002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7235" y="12460605"/>
          <a:ext cx="4059555" cy="18459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868680</xdr:colOff>
      <xdr:row>43</xdr:row>
      <xdr:rowOff>22860</xdr:rowOff>
    </xdr:from>
    <xdr:ext cx="1552733" cy="349776"/>
    <xdr:sp macro="" textlink="">
      <xdr:nvSpPr>
        <xdr:cNvPr id="35" name="テキスト ボックス 34">
          <a:extLst>
            <a:ext uri="{FF2B5EF4-FFF2-40B4-BE49-F238E27FC236}">
              <a16:creationId xmlns:a16="http://schemas.microsoft.com/office/drawing/2014/main" id="{00000000-0008-0000-0500-000023000000}"/>
            </a:ext>
          </a:extLst>
        </xdr:cNvPr>
        <xdr:cNvSpPr txBox="1"/>
      </xdr:nvSpPr>
      <xdr:spPr>
        <a:xfrm>
          <a:off x="2792730" y="13348335"/>
          <a:ext cx="1552733"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r>
            <a:rPr kumimoji="1" lang="en-US" altLang="ja-JP" sz="1200" i="1"/>
            <a:t>G</a:t>
          </a:r>
          <a:r>
            <a:rPr kumimoji="1" lang="en-US" altLang="ja-JP" sz="1200" baseline="-25000"/>
            <a:t>r</a:t>
          </a:r>
          <a:r>
            <a:rPr kumimoji="1" lang="ja-JP" altLang="en-US" sz="1200"/>
            <a:t>＋</a:t>
          </a:r>
          <a:r>
            <a:rPr kumimoji="1" lang="en-US" altLang="ja-JP" sz="1200" i="1"/>
            <a:t>D</a:t>
          </a:r>
          <a:r>
            <a:rPr kumimoji="1" lang="en-US" altLang="ja-JP" sz="1200" baseline="-25000"/>
            <a:t>1</a:t>
          </a:r>
          <a:r>
            <a:rPr kumimoji="1" lang="ja-JP" altLang="en-US" sz="1200"/>
            <a:t>＋</a:t>
          </a:r>
          <a:r>
            <a:rPr kumimoji="1" lang="en-US" altLang="ja-JP" sz="1200" i="1"/>
            <a:t>D</a:t>
          </a:r>
          <a:r>
            <a:rPr kumimoji="1" lang="en-US" altLang="ja-JP" sz="1200" baseline="-25000"/>
            <a:t>2</a:t>
          </a:r>
          <a:r>
            <a:rPr kumimoji="1" lang="ja-JP" altLang="en-US" sz="1200"/>
            <a:t>）</a:t>
          </a:r>
          <a:r>
            <a:rPr kumimoji="1" lang="en-US" altLang="ja-JP" sz="1200"/>
            <a:t>×</a:t>
          </a:r>
          <a:r>
            <a:rPr kumimoji="1" lang="en-US" altLang="ja-JP" sz="1200" i="1"/>
            <a:t>A</a:t>
          </a:r>
          <a:r>
            <a:rPr kumimoji="1" lang="en-US" altLang="ja-JP" sz="1200" baseline="-25000"/>
            <a:t>f1</a:t>
          </a:r>
          <a:endParaRPr kumimoji="1" lang="ja-JP" altLang="en-US" sz="1200" baseline="-25000"/>
        </a:p>
      </xdr:txBody>
    </xdr:sp>
    <xdr:clientData/>
  </xdr:oneCellAnchor>
  <xdr:oneCellAnchor>
    <xdr:from>
      <xdr:col>4</xdr:col>
      <xdr:colOff>1089660</xdr:colOff>
      <xdr:row>45</xdr:row>
      <xdr:rowOff>24765</xdr:rowOff>
    </xdr:from>
    <xdr:ext cx="2282548" cy="349776"/>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3013710" y="13845540"/>
          <a:ext cx="2282548"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0.5×(</a:t>
          </a:r>
          <a:r>
            <a:rPr kumimoji="1" lang="en-US" altLang="ja-JP" sz="1200" i="1"/>
            <a:t>G</a:t>
          </a:r>
          <a:r>
            <a:rPr kumimoji="1" lang="en-US" altLang="ja-JP" sz="1200" baseline="-25000"/>
            <a:t>ow1</a:t>
          </a:r>
          <a:r>
            <a:rPr kumimoji="1" lang="ja-JP" altLang="en-US" sz="1200"/>
            <a:t>＋</a:t>
          </a:r>
          <a:r>
            <a:rPr kumimoji="1" lang="en-US" altLang="ja-JP" sz="1200" i="1"/>
            <a:t>G</a:t>
          </a:r>
          <a:r>
            <a:rPr kumimoji="1" lang="en-US" altLang="ja-JP" sz="1200" baseline="-25000"/>
            <a:t>iw1</a:t>
          </a:r>
          <a:r>
            <a:rPr kumimoji="1" lang="ja-JP" altLang="en-US" sz="1200"/>
            <a:t>＋</a:t>
          </a:r>
          <a:r>
            <a:rPr kumimoji="1" lang="en-US" altLang="ja-JP" sz="1200" i="1"/>
            <a:t>D</a:t>
          </a:r>
          <a:r>
            <a:rPr kumimoji="1" lang="en-US" altLang="ja-JP" sz="1200" baseline="-25000"/>
            <a:t>3</a:t>
          </a:r>
          <a:r>
            <a:rPr kumimoji="1" lang="ja-JP" altLang="en-US" sz="1200"/>
            <a:t>＋</a:t>
          </a:r>
          <a:r>
            <a:rPr kumimoji="1" lang="en-US" altLang="ja-JP" sz="1200" i="1"/>
            <a:t>D</a:t>
          </a:r>
          <a:r>
            <a:rPr kumimoji="1" lang="en-US" altLang="ja-JP" sz="1200" baseline="-25000"/>
            <a:t>4</a:t>
          </a:r>
          <a:r>
            <a:rPr kumimoji="1" lang="en-US" altLang="ja-JP" sz="1200"/>
            <a:t>)×</a:t>
          </a:r>
          <a:r>
            <a:rPr kumimoji="1" lang="en-US" altLang="ja-JP" sz="1200" i="1"/>
            <a:t>A</a:t>
          </a:r>
          <a:r>
            <a:rPr kumimoji="1" lang="en-US" altLang="ja-JP" sz="1200" baseline="-25000"/>
            <a:t>f1</a:t>
          </a:r>
          <a:endParaRPr kumimoji="1" lang="ja-JP" altLang="en-US" sz="1200" baseline="-250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93"/>
  <sheetViews>
    <sheetView view="pageBreakPreview" zoomScale="124" zoomScaleNormal="50" zoomScaleSheetLayoutView="124" workbookViewId="0">
      <selection activeCell="A4" sqref="A4:O6"/>
    </sheetView>
  </sheetViews>
  <sheetFormatPr defaultRowHeight="18.75"/>
  <cols>
    <col min="1" max="1" width="3.625" customWidth="1"/>
    <col min="2" max="2" width="6.125" style="7" customWidth="1"/>
    <col min="3" max="3" width="5.875" customWidth="1"/>
    <col min="4" max="5" width="8.125" customWidth="1"/>
    <col min="6" max="6" width="8.125" style="4" customWidth="1"/>
    <col min="7" max="7" width="7.625" style="4" customWidth="1"/>
    <col min="8" max="11" width="7.625" customWidth="1"/>
    <col min="12" max="13" width="5.625" customWidth="1"/>
    <col min="14" max="15" width="5.625" style="5" customWidth="1"/>
    <col min="16" max="16" width="3.25" style="5" customWidth="1"/>
    <col min="17" max="18" width="10.375" style="5" hidden="1" customWidth="1"/>
    <col min="19" max="19" width="25" style="5" hidden="1" customWidth="1"/>
    <col min="20" max="26" width="10.375" style="5" hidden="1" customWidth="1"/>
    <col min="27" max="28" width="10.375" hidden="1" customWidth="1"/>
    <col min="29" max="30" width="11.25" hidden="1" customWidth="1"/>
    <col min="31" max="31" width="11.25" customWidth="1"/>
  </cols>
  <sheetData>
    <row r="1" spans="1:47" ht="18" customHeight="1">
      <c r="A1" s="564" t="s">
        <v>425</v>
      </c>
      <c r="B1" s="564"/>
      <c r="C1" s="564"/>
      <c r="D1" s="564"/>
      <c r="E1" s="564"/>
      <c r="F1" s="564"/>
      <c r="G1" s="564"/>
      <c r="H1" s="564"/>
      <c r="I1" s="564"/>
      <c r="J1" s="564"/>
      <c r="K1" s="564"/>
      <c r="L1" s="564"/>
      <c r="M1" s="564"/>
      <c r="N1" s="564"/>
      <c r="O1" s="564"/>
      <c r="P1" s="356"/>
      <c r="R1" s="71"/>
      <c r="S1" s="72"/>
      <c r="T1" s="565" t="s">
        <v>31</v>
      </c>
      <c r="U1" s="566"/>
      <c r="V1" s="73"/>
      <c r="W1" s="7"/>
      <c r="AA1" s="5"/>
    </row>
    <row r="2" spans="1:47" ht="18" customHeight="1">
      <c r="A2" s="564"/>
      <c r="B2" s="564"/>
      <c r="C2" s="564"/>
      <c r="D2" s="564"/>
      <c r="E2" s="564"/>
      <c r="F2" s="564"/>
      <c r="G2" s="564"/>
      <c r="H2" s="564"/>
      <c r="I2" s="564"/>
      <c r="J2" s="564"/>
      <c r="K2" s="564"/>
      <c r="L2" s="564"/>
      <c r="M2" s="564"/>
      <c r="N2" s="564"/>
      <c r="O2" s="564"/>
      <c r="P2" s="356"/>
      <c r="R2" s="74" t="s">
        <v>6</v>
      </c>
      <c r="S2" s="75" t="s">
        <v>159</v>
      </c>
      <c r="T2" s="567">
        <v>0</v>
      </c>
      <c r="U2" s="568"/>
      <c r="V2" s="76"/>
      <c r="W2" s="569" t="s">
        <v>42</v>
      </c>
      <c r="X2" s="570"/>
      <c r="Y2" s="3" t="s">
        <v>47</v>
      </c>
      <c r="AA2" s="7" t="s">
        <v>57</v>
      </c>
      <c r="AB2" s="5"/>
      <c r="AC2" s="5"/>
    </row>
    <row r="3" spans="1:47" ht="18" customHeight="1">
      <c r="A3" s="77"/>
      <c r="M3" s="571" t="s">
        <v>589</v>
      </c>
      <c r="N3" s="571"/>
      <c r="O3" s="571"/>
      <c r="P3" s="350"/>
      <c r="R3" s="78"/>
      <c r="S3" s="79" t="s">
        <v>158</v>
      </c>
      <c r="T3" s="515">
        <v>260</v>
      </c>
      <c r="U3" s="516"/>
      <c r="V3" s="80"/>
      <c r="W3" s="81" t="s">
        <v>3</v>
      </c>
      <c r="X3" s="81" t="s">
        <v>0</v>
      </c>
      <c r="Y3" s="6">
        <v>0.2</v>
      </c>
      <c r="AA3" s="7" t="s">
        <v>58</v>
      </c>
      <c r="AB3" s="5"/>
    </row>
    <row r="4" spans="1:47" ht="18" customHeight="1">
      <c r="A4" s="574" t="s">
        <v>37</v>
      </c>
      <c r="B4" s="534"/>
      <c r="C4" s="534"/>
      <c r="D4" s="575">
        <v>45748</v>
      </c>
      <c r="E4" s="576"/>
      <c r="F4" s="577"/>
      <c r="G4" s="1" t="s">
        <v>34</v>
      </c>
      <c r="H4" s="578" t="s">
        <v>605</v>
      </c>
      <c r="I4" s="578"/>
      <c r="J4" s="578"/>
      <c r="K4" s="578"/>
      <c r="L4" s="578"/>
      <c r="M4" s="578"/>
      <c r="N4" s="578"/>
      <c r="O4" s="578"/>
      <c r="P4" s="76"/>
      <c r="R4" s="82"/>
      <c r="S4" s="83" t="s">
        <v>160</v>
      </c>
      <c r="T4" s="499">
        <f>L21/MAX(F15,F16)*1.3*9.8</f>
        <v>0</v>
      </c>
      <c r="U4" s="500"/>
      <c r="V4" s="7"/>
      <c r="W4" s="81"/>
      <c r="X4" s="81"/>
      <c r="Y4" s="6">
        <v>0.3</v>
      </c>
      <c r="AA4" s="7" t="s">
        <v>232</v>
      </c>
    </row>
    <row r="5" spans="1:47" ht="18" customHeight="1">
      <c r="A5" s="579" t="s">
        <v>595</v>
      </c>
      <c r="B5" s="579"/>
      <c r="C5" s="579"/>
      <c r="D5" s="580" t="s">
        <v>602</v>
      </c>
      <c r="E5" s="581"/>
      <c r="F5" s="581"/>
      <c r="G5" s="387" t="s">
        <v>596</v>
      </c>
      <c r="H5" s="388"/>
      <c r="I5" s="389" t="str">
        <f>IF(D5="一級建築士","大臣",IF(D5="","","知事"))</f>
        <v>大臣</v>
      </c>
      <c r="J5" s="390" t="s">
        <v>597</v>
      </c>
      <c r="K5" s="391">
        <v>99999</v>
      </c>
      <c r="L5" s="392" t="s">
        <v>598</v>
      </c>
      <c r="M5" s="582"/>
      <c r="N5" s="582"/>
      <c r="O5" s="583"/>
      <c r="P5" s="12"/>
      <c r="R5" s="85" t="s">
        <v>17</v>
      </c>
      <c r="S5" s="86" t="s">
        <v>11</v>
      </c>
      <c r="T5" s="504">
        <v>1300</v>
      </c>
      <c r="U5" s="505"/>
      <c r="V5" s="7"/>
      <c r="W5" s="87" t="s">
        <v>4</v>
      </c>
      <c r="X5" s="87" t="s">
        <v>1</v>
      </c>
      <c r="Y5" s="88">
        <v>1</v>
      </c>
      <c r="AJ5" s="351"/>
      <c r="AK5" s="351"/>
      <c r="AL5" s="351"/>
      <c r="AN5" s="352"/>
      <c r="AO5" s="352"/>
      <c r="AP5" s="352"/>
      <c r="AQ5" s="352"/>
      <c r="AR5" s="352"/>
      <c r="AS5" s="352"/>
      <c r="AT5" s="352"/>
      <c r="AU5" s="352"/>
    </row>
    <row r="6" spans="1:47" ht="18" customHeight="1">
      <c r="A6" s="579" t="s">
        <v>599</v>
      </c>
      <c r="B6" s="579"/>
      <c r="C6" s="579"/>
      <c r="D6" s="580" t="s">
        <v>602</v>
      </c>
      <c r="E6" s="581"/>
      <c r="F6" s="390" t="s">
        <v>600</v>
      </c>
      <c r="G6" s="132" t="s">
        <v>596</v>
      </c>
      <c r="H6" s="388" t="s">
        <v>606</v>
      </c>
      <c r="I6" s="393" t="s">
        <v>601</v>
      </c>
      <c r="J6" s="390" t="s">
        <v>597</v>
      </c>
      <c r="K6" s="586" t="s">
        <v>607</v>
      </c>
      <c r="L6" s="586"/>
      <c r="M6" s="139"/>
      <c r="N6" s="139"/>
      <c r="O6" s="139"/>
      <c r="P6" s="12"/>
      <c r="R6" s="85"/>
      <c r="S6" s="86"/>
      <c r="T6" s="292"/>
      <c r="U6" s="293"/>
      <c r="V6" s="7"/>
      <c r="W6" s="87"/>
      <c r="X6" s="87"/>
      <c r="Y6" s="88"/>
      <c r="AG6" s="353"/>
      <c r="AH6" s="353"/>
      <c r="AI6" s="353"/>
      <c r="AJ6" s="354"/>
      <c r="AK6" s="354"/>
      <c r="AL6" s="354"/>
      <c r="AM6" s="354"/>
      <c r="AN6" s="354"/>
      <c r="AO6" s="354"/>
      <c r="AP6" s="354"/>
      <c r="AQ6" s="354"/>
      <c r="AR6" s="354"/>
      <c r="AS6" s="354"/>
      <c r="AT6" s="354"/>
      <c r="AU6" s="354"/>
    </row>
    <row r="7" spans="1:47" ht="18" customHeight="1">
      <c r="A7" s="89"/>
      <c r="B7" s="89"/>
      <c r="C7" s="4"/>
      <c r="D7" s="4"/>
      <c r="E7" s="4"/>
      <c r="F7"/>
      <c r="G7"/>
      <c r="H7" s="4"/>
      <c r="I7" s="4"/>
      <c r="J7" s="4"/>
      <c r="K7" s="4"/>
      <c r="L7" s="4"/>
      <c r="M7" s="4"/>
      <c r="N7" s="4"/>
      <c r="O7" s="4"/>
      <c r="P7" s="4"/>
      <c r="R7" s="85"/>
      <c r="S7" s="86"/>
      <c r="T7" s="292"/>
      <c r="U7" s="293"/>
      <c r="V7" s="7"/>
      <c r="W7" s="87"/>
      <c r="X7" s="87"/>
      <c r="Y7" s="88"/>
      <c r="AG7" s="124"/>
      <c r="AH7" s="124"/>
      <c r="AI7" s="124"/>
      <c r="AJ7" s="55"/>
      <c r="AK7" s="55"/>
      <c r="AL7" s="55"/>
      <c r="AM7" s="55"/>
      <c r="AN7" s="55"/>
      <c r="AO7" s="55"/>
      <c r="AP7" s="55"/>
      <c r="AQ7" s="55"/>
      <c r="AR7" s="55"/>
      <c r="AS7" s="55"/>
      <c r="AT7" s="55"/>
      <c r="AU7" s="55"/>
    </row>
    <row r="8" spans="1:47" ht="18" customHeight="1">
      <c r="A8" s="92" t="s">
        <v>296</v>
      </c>
      <c r="I8" s="4"/>
      <c r="J8" s="4"/>
      <c r="K8" s="4"/>
      <c r="L8" s="4"/>
      <c r="M8" s="4"/>
      <c r="N8" s="4"/>
      <c r="O8" s="4"/>
      <c r="P8" s="4"/>
      <c r="Q8" s="14"/>
      <c r="R8" s="90"/>
      <c r="S8" s="79" t="s">
        <v>12</v>
      </c>
      <c r="T8" s="515">
        <v>1000</v>
      </c>
      <c r="U8" s="516"/>
      <c r="W8" s="1" t="s">
        <v>5</v>
      </c>
      <c r="X8" s="1" t="s">
        <v>2</v>
      </c>
      <c r="Y8" s="91">
        <v>1</v>
      </c>
      <c r="AA8" s="5"/>
      <c r="AG8" s="353"/>
      <c r="AH8" s="353"/>
      <c r="AI8" s="353"/>
      <c r="AJ8" s="7"/>
      <c r="AK8" s="7"/>
      <c r="AL8" s="7"/>
      <c r="AM8" s="7"/>
      <c r="AN8" s="7"/>
      <c r="AO8" s="7"/>
      <c r="AP8" s="7"/>
      <c r="AQ8" s="7"/>
      <c r="AR8" s="355"/>
      <c r="AS8" s="355"/>
      <c r="AT8" s="355"/>
      <c r="AU8" s="355"/>
    </row>
    <row r="9" spans="1:47" ht="18" customHeight="1">
      <c r="A9" s="96" t="s">
        <v>426</v>
      </c>
      <c r="B9" s="97"/>
      <c r="C9" s="8"/>
      <c r="D9" s="8"/>
      <c r="E9" s="8"/>
      <c r="F9" s="98"/>
      <c r="G9" s="98"/>
      <c r="H9" s="8"/>
      <c r="I9" s="98"/>
      <c r="J9" s="98"/>
      <c r="K9" s="98"/>
      <c r="L9" s="98"/>
      <c r="M9" s="98"/>
      <c r="N9" s="9"/>
      <c r="O9" s="9"/>
      <c r="P9" s="9"/>
      <c r="Q9" s="9"/>
      <c r="R9" s="93"/>
      <c r="S9" s="83" t="s">
        <v>13</v>
      </c>
      <c r="T9" s="499">
        <v>650</v>
      </c>
      <c r="U9" s="500"/>
      <c r="V9" s="94"/>
      <c r="W9" s="572" t="s">
        <v>180</v>
      </c>
      <c r="X9" s="573"/>
      <c r="Y9" s="95">
        <f>F15/F16</f>
        <v>1</v>
      </c>
      <c r="AA9" s="5"/>
    </row>
    <row r="10" spans="1:47" s="8" customFormat="1" ht="18" customHeight="1" thickBot="1">
      <c r="A10"/>
      <c r="B10" s="7"/>
      <c r="C10"/>
      <c r="D10"/>
      <c r="E10"/>
      <c r="F10" s="4"/>
      <c r="G10" s="4"/>
      <c r="H10"/>
      <c r="I10"/>
      <c r="J10"/>
      <c r="K10"/>
      <c r="L10"/>
      <c r="M10"/>
      <c r="N10" s="5"/>
      <c r="O10" s="5"/>
      <c r="P10" s="5"/>
      <c r="Q10" s="5"/>
      <c r="R10" s="584" t="s">
        <v>163</v>
      </c>
      <c r="S10" s="99" t="s">
        <v>164</v>
      </c>
      <c r="T10" s="504">
        <v>100</v>
      </c>
      <c r="U10" s="505"/>
      <c r="V10" s="5"/>
      <c r="W10" s="603"/>
      <c r="X10" s="603"/>
      <c r="Y10" s="100"/>
      <c r="Z10" s="5"/>
      <c r="AA10" s="94"/>
    </row>
    <row r="11" spans="1:47" ht="18" customHeight="1" thickBot="1">
      <c r="B11" s="587" t="s">
        <v>388</v>
      </c>
      <c r="C11" s="648" t="s">
        <v>42</v>
      </c>
      <c r="D11" s="649"/>
      <c r="E11" s="650"/>
      <c r="F11" s="651" t="s">
        <v>43</v>
      </c>
      <c r="G11" s="652"/>
      <c r="H11" s="648" t="s">
        <v>166</v>
      </c>
      <c r="I11" s="649"/>
      <c r="J11" s="649"/>
      <c r="K11" s="649"/>
      <c r="L11" s="649"/>
      <c r="M11" s="649"/>
      <c r="N11" s="649"/>
      <c r="O11" s="650"/>
      <c r="P11" s="76"/>
      <c r="R11" s="585"/>
      <c r="S11" s="101" t="s">
        <v>157</v>
      </c>
      <c r="T11" s="604">
        <f>ROUNDUP(L24*N24/1000*9.8,-1)</f>
        <v>0</v>
      </c>
      <c r="U11" s="605"/>
      <c r="V11" s="606" t="s">
        <v>167</v>
      </c>
      <c r="W11" s="607"/>
      <c r="X11" s="94"/>
      <c r="Y11" s="94"/>
      <c r="Z11" s="94"/>
      <c r="AA11" s="5"/>
    </row>
    <row r="12" spans="1:47" ht="18" customHeight="1">
      <c r="B12" s="633"/>
      <c r="C12" s="459" t="s">
        <v>29</v>
      </c>
      <c r="D12" s="460"/>
      <c r="E12" s="461"/>
      <c r="F12" s="559">
        <v>2.81</v>
      </c>
      <c r="G12" s="560"/>
      <c r="H12" s="561" t="s">
        <v>405</v>
      </c>
      <c r="I12" s="562"/>
      <c r="J12" s="562"/>
      <c r="K12" s="562"/>
      <c r="L12" s="562"/>
      <c r="M12" s="562"/>
      <c r="N12" s="562"/>
      <c r="O12" s="563"/>
      <c r="P12" s="106"/>
      <c r="R12" s="103" t="s">
        <v>23</v>
      </c>
      <c r="S12" s="104"/>
      <c r="T12" s="601">
        <v>610</v>
      </c>
      <c r="U12" s="602"/>
      <c r="V12" s="102"/>
      <c r="W12" s="102"/>
      <c r="X12" s="105"/>
      <c r="Y12" s="105"/>
      <c r="AA12" s="5"/>
    </row>
    <row r="13" spans="1:47" ht="18" customHeight="1" thickBot="1">
      <c r="B13" s="633"/>
      <c r="C13" s="533" t="s">
        <v>30</v>
      </c>
      <c r="D13" s="534"/>
      <c r="E13" s="535"/>
      <c r="F13" s="614">
        <v>2.81</v>
      </c>
      <c r="G13" s="615"/>
      <c r="H13" s="616" t="s">
        <v>406</v>
      </c>
      <c r="I13" s="617"/>
      <c r="J13" s="617"/>
      <c r="K13" s="617"/>
      <c r="L13" s="617"/>
      <c r="M13" s="617"/>
      <c r="N13" s="617"/>
      <c r="O13" s="618"/>
      <c r="P13" s="106"/>
      <c r="R13" s="78" t="s">
        <v>24</v>
      </c>
      <c r="S13" s="79" t="s">
        <v>327</v>
      </c>
      <c r="T13" s="515">
        <v>600</v>
      </c>
      <c r="U13" s="516"/>
      <c r="V13" s="102"/>
      <c r="W13" s="102"/>
      <c r="X13" s="496"/>
      <c r="Y13" s="496"/>
      <c r="AA13" s="5"/>
    </row>
    <row r="14" spans="1:47" ht="18" customHeight="1" thickBot="1">
      <c r="B14" s="633"/>
      <c r="C14" s="619" t="s">
        <v>294</v>
      </c>
      <c r="D14" s="620"/>
      <c r="E14" s="621"/>
      <c r="F14" s="622">
        <v>0.2</v>
      </c>
      <c r="G14" s="623"/>
      <c r="H14" s="538" t="s">
        <v>46</v>
      </c>
      <c r="I14" s="539"/>
      <c r="J14" s="539"/>
      <c r="K14" s="539"/>
      <c r="L14" s="539"/>
      <c r="M14" s="539"/>
      <c r="N14" s="539"/>
      <c r="O14" s="540"/>
      <c r="P14" s="357"/>
      <c r="R14" s="107" t="s">
        <v>24</v>
      </c>
      <c r="S14" s="108" t="s">
        <v>328</v>
      </c>
      <c r="T14" s="513">
        <v>1300</v>
      </c>
      <c r="U14" s="514"/>
      <c r="V14" s="102"/>
      <c r="W14" s="102"/>
      <c r="X14" s="517" t="s">
        <v>231</v>
      </c>
      <c r="Y14" s="518"/>
      <c r="AA14" s="5"/>
    </row>
    <row r="15" spans="1:47" ht="18" customHeight="1">
      <c r="B15" s="633"/>
      <c r="C15" s="533" t="s">
        <v>44</v>
      </c>
      <c r="D15" s="534"/>
      <c r="E15" s="535"/>
      <c r="F15" s="536">
        <v>50.25</v>
      </c>
      <c r="G15" s="537"/>
      <c r="H15" s="538" t="s">
        <v>302</v>
      </c>
      <c r="I15" s="539"/>
      <c r="J15" s="539"/>
      <c r="K15" s="539"/>
      <c r="L15" s="539"/>
      <c r="M15" s="539"/>
      <c r="N15" s="539"/>
      <c r="O15" s="540"/>
      <c r="P15" s="357"/>
      <c r="R15" s="71"/>
      <c r="S15" s="109"/>
      <c r="T15" s="624" t="s">
        <v>53</v>
      </c>
      <c r="U15" s="625"/>
      <c r="X15" s="110" t="s">
        <v>25</v>
      </c>
      <c r="Y15" s="111" t="s">
        <v>26</v>
      </c>
      <c r="AA15" s="5"/>
    </row>
    <row r="16" spans="1:47" ht="18" customHeight="1">
      <c r="B16" s="633"/>
      <c r="C16" s="533" t="s">
        <v>45</v>
      </c>
      <c r="D16" s="534"/>
      <c r="E16" s="535"/>
      <c r="F16" s="536">
        <v>50.25</v>
      </c>
      <c r="G16" s="537"/>
      <c r="H16" s="538" t="s">
        <v>302</v>
      </c>
      <c r="I16" s="539"/>
      <c r="J16" s="539"/>
      <c r="K16" s="539"/>
      <c r="L16" s="539"/>
      <c r="M16" s="539"/>
      <c r="N16" s="539"/>
      <c r="O16" s="540"/>
      <c r="P16" s="357"/>
      <c r="R16" s="511" t="s">
        <v>9</v>
      </c>
      <c r="S16" s="99" t="s">
        <v>27</v>
      </c>
      <c r="T16" s="504">
        <v>1000</v>
      </c>
      <c r="U16" s="505"/>
      <c r="X16" s="112">
        <f t="shared" ref="X16:X22" si="0">ROUNDUP(T16*((6*$F$13*2+16.5*$F$13*2)*(1-0.09)/(6*16.5)),-1)</f>
        <v>1170</v>
      </c>
      <c r="Y16" s="113">
        <f t="shared" ref="Y16:Y22" si="1">ROUNDUP(T16*((6*$F$12*2+16.5*$F$12*2)*(1-0.09)/(6*16.5)),-1)</f>
        <v>1170</v>
      </c>
      <c r="AA16" s="5"/>
    </row>
    <row r="17" spans="1:29" ht="18" customHeight="1">
      <c r="B17" s="633"/>
      <c r="C17" s="533" t="s">
        <v>40</v>
      </c>
      <c r="D17" s="534"/>
      <c r="E17" s="535"/>
      <c r="F17" s="555" t="s">
        <v>12</v>
      </c>
      <c r="G17" s="556"/>
      <c r="H17" s="538" t="s">
        <v>233</v>
      </c>
      <c r="I17" s="539"/>
      <c r="J17" s="539"/>
      <c r="K17" s="539"/>
      <c r="L17" s="539"/>
      <c r="M17" s="539"/>
      <c r="N17" s="539"/>
      <c r="O17" s="540"/>
      <c r="P17" s="357"/>
      <c r="R17" s="554"/>
      <c r="S17" s="79" t="s">
        <v>28</v>
      </c>
      <c r="T17" s="515">
        <v>890</v>
      </c>
      <c r="U17" s="516"/>
      <c r="X17" s="112">
        <f t="shared" si="0"/>
        <v>1040</v>
      </c>
      <c r="Y17" s="113">
        <f t="shared" si="1"/>
        <v>1040</v>
      </c>
      <c r="AA17" s="5"/>
    </row>
    <row r="18" spans="1:29" ht="18" customHeight="1">
      <c r="B18" s="633"/>
      <c r="C18" s="533" t="s">
        <v>41</v>
      </c>
      <c r="D18" s="534"/>
      <c r="E18" s="535"/>
      <c r="F18" s="557" t="s">
        <v>402</v>
      </c>
      <c r="G18" s="558"/>
      <c r="H18" s="538" t="s">
        <v>233</v>
      </c>
      <c r="I18" s="539"/>
      <c r="J18" s="539"/>
      <c r="K18" s="539"/>
      <c r="L18" s="539"/>
      <c r="M18" s="539"/>
      <c r="N18" s="539"/>
      <c r="O18" s="540"/>
      <c r="P18" s="357"/>
      <c r="R18" s="554"/>
      <c r="S18" s="79" t="s">
        <v>14</v>
      </c>
      <c r="T18" s="515">
        <v>600</v>
      </c>
      <c r="U18" s="516"/>
      <c r="X18" s="112">
        <f t="shared" si="0"/>
        <v>700</v>
      </c>
      <c r="Y18" s="113">
        <f t="shared" si="1"/>
        <v>700</v>
      </c>
      <c r="AA18" s="5"/>
    </row>
    <row r="19" spans="1:29" ht="18" customHeight="1">
      <c r="B19" s="633"/>
      <c r="C19" s="541" t="s">
        <v>290</v>
      </c>
      <c r="D19" s="542"/>
      <c r="E19" s="543"/>
      <c r="F19" s="548" t="s">
        <v>413</v>
      </c>
      <c r="G19" s="549"/>
      <c r="H19" s="608" t="s">
        <v>391</v>
      </c>
      <c r="I19" s="609"/>
      <c r="J19" s="609"/>
      <c r="K19" s="609"/>
      <c r="L19" s="497" t="str">
        <f>IF(F19="あり(任意入力)",IF(L21=0,"下記へ数値入力してください。",""),IF(L21=0,"下記への入力は不要です。","下記の数値を削除してください"))</f>
        <v>下記への入力は不要です。</v>
      </c>
      <c r="M19" s="497"/>
      <c r="N19" s="497"/>
      <c r="O19" s="498"/>
      <c r="P19" s="66"/>
      <c r="R19" s="554"/>
      <c r="S19" s="79" t="s">
        <v>15</v>
      </c>
      <c r="T19" s="515">
        <v>500</v>
      </c>
      <c r="U19" s="516"/>
      <c r="X19" s="112">
        <f t="shared" si="0"/>
        <v>590</v>
      </c>
      <c r="Y19" s="113">
        <f t="shared" si="1"/>
        <v>590</v>
      </c>
      <c r="AA19" s="5"/>
    </row>
    <row r="20" spans="1:29" ht="18" customHeight="1">
      <c r="B20" s="633"/>
      <c r="C20" s="455"/>
      <c r="D20" s="544"/>
      <c r="E20" s="456"/>
      <c r="F20" s="550"/>
      <c r="G20" s="551"/>
      <c r="H20" s="610"/>
      <c r="I20" s="611"/>
      <c r="J20" s="611"/>
      <c r="K20" s="611"/>
      <c r="L20" s="501" t="s">
        <v>325</v>
      </c>
      <c r="M20" s="502"/>
      <c r="N20" s="502"/>
      <c r="O20" s="503"/>
      <c r="P20" s="115"/>
      <c r="R20" s="512"/>
      <c r="S20" s="83" t="s">
        <v>315</v>
      </c>
      <c r="T20" s="499">
        <v>350</v>
      </c>
      <c r="U20" s="500"/>
      <c r="X20" s="112">
        <f t="shared" si="0"/>
        <v>410</v>
      </c>
      <c r="Y20" s="113">
        <f t="shared" si="1"/>
        <v>410</v>
      </c>
      <c r="AA20" s="5"/>
    </row>
    <row r="21" spans="1:29" ht="18" customHeight="1">
      <c r="B21" s="633"/>
      <c r="C21" s="545"/>
      <c r="D21" s="546"/>
      <c r="E21" s="547"/>
      <c r="F21" s="552"/>
      <c r="G21" s="553"/>
      <c r="H21" s="612"/>
      <c r="I21" s="613"/>
      <c r="J21" s="613"/>
      <c r="K21" s="613"/>
      <c r="L21" s="506"/>
      <c r="M21" s="507"/>
      <c r="N21" s="507"/>
      <c r="O21" s="508"/>
      <c r="P21" s="160"/>
      <c r="R21" s="511" t="s">
        <v>20</v>
      </c>
      <c r="S21" s="99" t="s">
        <v>165</v>
      </c>
      <c r="T21" s="504">
        <v>70</v>
      </c>
      <c r="U21" s="505"/>
      <c r="X21" s="112">
        <f t="shared" si="0"/>
        <v>90</v>
      </c>
      <c r="Y21" s="113">
        <f t="shared" si="1"/>
        <v>90</v>
      </c>
      <c r="AA21" s="5"/>
    </row>
    <row r="22" spans="1:29" ht="18" customHeight="1">
      <c r="B22" s="633"/>
      <c r="C22" s="462" t="s">
        <v>291</v>
      </c>
      <c r="D22" s="626"/>
      <c r="E22" s="472"/>
      <c r="F22" s="548" t="s">
        <v>164</v>
      </c>
      <c r="G22" s="549"/>
      <c r="H22" s="608" t="s">
        <v>295</v>
      </c>
      <c r="I22" s="609"/>
      <c r="J22" s="609"/>
      <c r="K22" s="609"/>
      <c r="L22" s="519" t="str">
        <f>IF(F22="任意入力",IF(L24*N24=0,"下記へ数値入力してください。",""),IF(L24+N24=0,"下記への入力は不要です。","下記の数値を削除してください"))</f>
        <v>下記への入力は不要です。</v>
      </c>
      <c r="M22" s="519"/>
      <c r="N22" s="519"/>
      <c r="O22" s="520"/>
      <c r="P22" s="67"/>
      <c r="R22" s="512"/>
      <c r="S22" s="83" t="s">
        <v>157</v>
      </c>
      <c r="T22" s="509">
        <f>ROUNDUP(L27*N27*9.8/1000+L28*N28*9.8/1000,-1)</f>
        <v>0</v>
      </c>
      <c r="U22" s="510"/>
      <c r="V22" s="5" t="s">
        <v>167</v>
      </c>
      <c r="X22" s="112">
        <f t="shared" si="0"/>
        <v>0</v>
      </c>
      <c r="Y22" s="113">
        <f t="shared" si="1"/>
        <v>0</v>
      </c>
      <c r="AA22" s="5"/>
    </row>
    <row r="23" spans="1:29" ht="18" customHeight="1" thickBot="1">
      <c r="B23" s="633"/>
      <c r="C23" s="464"/>
      <c r="D23" s="627"/>
      <c r="E23" s="474"/>
      <c r="F23" s="550"/>
      <c r="G23" s="551"/>
      <c r="H23" s="610"/>
      <c r="I23" s="611"/>
      <c r="J23" s="611"/>
      <c r="K23" s="611"/>
      <c r="L23" s="523" t="s">
        <v>169</v>
      </c>
      <c r="M23" s="524"/>
      <c r="N23" s="525" t="s">
        <v>168</v>
      </c>
      <c r="O23" s="526"/>
      <c r="P23" s="358"/>
      <c r="R23" s="116" t="s">
        <v>21</v>
      </c>
      <c r="S23" s="117" t="s">
        <v>22</v>
      </c>
      <c r="T23" s="521">
        <v>400</v>
      </c>
      <c r="U23" s="522"/>
      <c r="X23" s="118">
        <f>ROUNDUP(T23*((6*$F$13*2+16.5*$F$13*2)*0.09/(6*16.5)),-1)</f>
        <v>50</v>
      </c>
      <c r="Y23" s="119">
        <f>ROUNDUP(T23*((6*$F$12*2+16.5*$F$12*2)*0.09/(6*16.5)),-1)</f>
        <v>50</v>
      </c>
      <c r="AA23" s="5"/>
    </row>
    <row r="24" spans="1:29" ht="18" customHeight="1">
      <c r="B24" s="633"/>
      <c r="C24" s="628"/>
      <c r="D24" s="629"/>
      <c r="E24" s="630"/>
      <c r="F24" s="552"/>
      <c r="G24" s="553"/>
      <c r="H24" s="612"/>
      <c r="I24" s="613"/>
      <c r="J24" s="613"/>
      <c r="K24" s="613"/>
      <c r="L24" s="529"/>
      <c r="M24" s="530"/>
      <c r="N24" s="531"/>
      <c r="O24" s="532"/>
      <c r="P24" s="124"/>
      <c r="R24" s="120"/>
      <c r="S24" s="121"/>
      <c r="T24" s="527" t="s">
        <v>33</v>
      </c>
      <c r="U24" s="528"/>
      <c r="V24" s="2"/>
      <c r="AA24" s="5"/>
    </row>
    <row r="25" spans="1:29" ht="18" customHeight="1" thickBot="1">
      <c r="B25" s="633"/>
      <c r="C25" s="462" t="s">
        <v>292</v>
      </c>
      <c r="D25" s="626"/>
      <c r="E25" s="472"/>
      <c r="F25" s="548" t="s">
        <v>165</v>
      </c>
      <c r="G25" s="549"/>
      <c r="H25" s="609" t="s">
        <v>588</v>
      </c>
      <c r="I25" s="609"/>
      <c r="J25" s="609"/>
      <c r="K25" s="609"/>
      <c r="L25" s="519" t="str">
        <f>IF(F25="任意入力",IF(L27*N27+L28*N28=0,"下記へ数値入力してください。",""),IF(L27+L28+N27+N28=0,"下記への入力は不要です。","下記の数値を削除してください"))</f>
        <v>下記への入力は不要です。</v>
      </c>
      <c r="M25" s="519"/>
      <c r="N25" s="519"/>
      <c r="O25" s="520"/>
      <c r="P25" s="67"/>
      <c r="R25" s="122" t="s">
        <v>16</v>
      </c>
      <c r="S25" s="123" t="s">
        <v>32</v>
      </c>
      <c r="T25" s="494">
        <v>200</v>
      </c>
      <c r="U25" s="495"/>
      <c r="X25" s="11"/>
      <c r="Y25" s="11"/>
      <c r="AA25" s="5"/>
    </row>
    <row r="26" spans="1:29" ht="18" customHeight="1" thickBot="1">
      <c r="B26" s="633"/>
      <c r="C26" s="464"/>
      <c r="D26" s="627"/>
      <c r="E26" s="474"/>
      <c r="F26" s="550"/>
      <c r="G26" s="551"/>
      <c r="H26" s="611"/>
      <c r="I26" s="611"/>
      <c r="J26" s="611"/>
      <c r="K26" s="611"/>
      <c r="L26" s="523" t="s">
        <v>169</v>
      </c>
      <c r="M26" s="524"/>
      <c r="N26" s="525" t="s">
        <v>168</v>
      </c>
      <c r="O26" s="526"/>
      <c r="P26" s="358"/>
      <c r="R26" s="76"/>
      <c r="S26"/>
      <c r="T26" s="76"/>
      <c r="U26" s="76"/>
      <c r="X26" s="11"/>
      <c r="Y26" s="11"/>
      <c r="AA26" s="5"/>
    </row>
    <row r="27" spans="1:29" ht="18" customHeight="1" thickBot="1">
      <c r="B27" s="633"/>
      <c r="C27" s="464"/>
      <c r="D27" s="627"/>
      <c r="E27" s="474"/>
      <c r="F27" s="550"/>
      <c r="G27" s="551"/>
      <c r="H27" s="611"/>
      <c r="I27" s="611"/>
      <c r="J27" s="611"/>
      <c r="K27" s="611"/>
      <c r="L27" s="642"/>
      <c r="M27" s="643"/>
      <c r="N27" s="644"/>
      <c r="O27" s="645"/>
      <c r="P27" s="124"/>
      <c r="Q27" s="124"/>
      <c r="R27" s="125"/>
      <c r="S27" s="126"/>
      <c r="T27" s="447" t="s">
        <v>318</v>
      </c>
      <c r="U27" s="448"/>
      <c r="V27" s="447" t="s">
        <v>319</v>
      </c>
      <c r="W27" s="448"/>
      <c r="X27" s="11"/>
      <c r="AA27" s="5"/>
      <c r="AB27" s="5"/>
    </row>
    <row r="28" spans="1:29" ht="18" customHeight="1" thickBot="1">
      <c r="B28" s="588"/>
      <c r="C28" s="466"/>
      <c r="D28" s="638"/>
      <c r="E28" s="476"/>
      <c r="F28" s="639"/>
      <c r="G28" s="640"/>
      <c r="H28" s="641"/>
      <c r="I28" s="641"/>
      <c r="J28" s="641"/>
      <c r="K28" s="641"/>
      <c r="L28" s="646"/>
      <c r="M28" s="647"/>
      <c r="N28" s="636"/>
      <c r="O28" s="637"/>
      <c r="P28" s="124"/>
      <c r="Q28" s="29"/>
      <c r="R28" s="127" t="s">
        <v>161</v>
      </c>
      <c r="S28" s="128" t="s">
        <v>175</v>
      </c>
      <c r="T28" s="129">
        <f>((VLOOKUP($F17,S5:U9,2,FALSE)+VLOOKUP($F$19,S2:U4,2,FALSE))*$Y$9+VLOOKUP($F$22,S10:U11,2,FALSE)*$Y$9)/1000</f>
        <v>1.1000000000000001</v>
      </c>
      <c r="U28" s="130" t="s">
        <v>182</v>
      </c>
      <c r="V28" s="129">
        <f>((VLOOKUP($F17,S5:U9,2,FALSE)+VLOOKUP($F$19,S2:U4,2,FALSE))+VLOOKUP($F$22,S10:U11,2,FALSE))/1000</f>
        <v>1.1000000000000001</v>
      </c>
      <c r="W28" s="130" t="s">
        <v>182</v>
      </c>
      <c r="X28" s="7">
        <v>1.186029465704854</v>
      </c>
      <c r="Z28"/>
      <c r="AA28" s="5"/>
    </row>
    <row r="29" spans="1:29" ht="18" customHeight="1">
      <c r="B29" s="7" t="s">
        <v>389</v>
      </c>
      <c r="C29" s="4"/>
      <c r="D29" s="4"/>
      <c r="E29" s="4"/>
      <c r="F29" s="135" t="s">
        <v>390</v>
      </c>
      <c r="H29" s="114"/>
      <c r="I29" s="114"/>
      <c r="J29" s="114"/>
      <c r="K29" s="114"/>
      <c r="L29" s="115"/>
      <c r="M29" s="115"/>
      <c r="N29" s="124"/>
      <c r="O29" s="124"/>
      <c r="P29" s="124"/>
      <c r="Q29" s="274"/>
      <c r="R29" s="131" t="s">
        <v>162</v>
      </c>
      <c r="S29" s="132" t="s">
        <v>173</v>
      </c>
      <c r="T29" s="133">
        <f>((VLOOKUP($F18,S16:Y20,7,FALSE)+$T$25*$F$12/2.8+VLOOKUP($F25,S21:Y22,7,FALSE)+$Y$23)*$Y$9)/1000</f>
        <v>1.0407142857142857</v>
      </c>
      <c r="U29" s="134" t="s">
        <v>181</v>
      </c>
      <c r="V29" s="133">
        <f>((VLOOKUP($F18,S16:Y20,7,FALSE)+$T$25*$F$12/2.8+VLOOKUP($F25,S21:Y22,7,FALSE)+$Y$23))/1000</f>
        <v>1.0407142857142857</v>
      </c>
      <c r="W29" s="134" t="s">
        <v>181</v>
      </c>
      <c r="X29" s="7">
        <v>1.0542857142857143</v>
      </c>
      <c r="Z29"/>
      <c r="AA29" s="5"/>
    </row>
    <row r="30" spans="1:29" ht="18" customHeight="1">
      <c r="A30" s="7"/>
      <c r="B30" s="7" t="s">
        <v>392</v>
      </c>
      <c r="C30" s="73"/>
      <c r="D30" s="73"/>
      <c r="E30" s="73"/>
      <c r="F30" s="139"/>
      <c r="G30" s="139"/>
      <c r="H30" s="7"/>
      <c r="I30" s="100"/>
      <c r="J30" s="100"/>
      <c r="K30" s="100"/>
      <c r="L30" s="100"/>
      <c r="M30" s="100"/>
      <c r="N30" s="100"/>
      <c r="O30" s="100"/>
      <c r="P30" s="100"/>
      <c r="Q30" s="124"/>
      <c r="R30" s="136" t="s">
        <v>170</v>
      </c>
      <c r="S30" s="137" t="s">
        <v>174</v>
      </c>
      <c r="T30" s="138">
        <f>(T12+T13)*$Y$9/1000</f>
        <v>1.21</v>
      </c>
      <c r="U30" s="134" t="s">
        <v>181</v>
      </c>
      <c r="V30" s="138">
        <f>(T12+T14)/1000</f>
        <v>1.91</v>
      </c>
      <c r="W30" s="134" t="s">
        <v>181</v>
      </c>
      <c r="X30" s="7">
        <v>1.91</v>
      </c>
      <c r="Y30" s="11"/>
      <c r="AA30" s="5"/>
    </row>
    <row r="31" spans="1:29" ht="18" customHeight="1" thickBot="1">
      <c r="A31" s="7"/>
      <c r="C31" s="73"/>
      <c r="D31" s="73"/>
      <c r="E31" s="73"/>
      <c r="F31" s="139"/>
      <c r="G31" s="139"/>
      <c r="H31" s="7"/>
      <c r="I31" s="100"/>
      <c r="J31" s="100"/>
      <c r="K31" s="100"/>
      <c r="L31" s="100"/>
      <c r="M31" s="100"/>
      <c r="N31" s="100"/>
      <c r="O31" s="100"/>
      <c r="P31" s="100"/>
      <c r="Q31" s="124"/>
      <c r="R31" s="131" t="s">
        <v>171</v>
      </c>
      <c r="S31" s="137" t="s">
        <v>172</v>
      </c>
      <c r="T31" s="138">
        <f>(VLOOKUP($F18,S16:Y20,6,FALSE)+T25*$F$13/2.8+VLOOKUP($F25,S21:Y22,6,FALSE)+$X$23)*1/1000</f>
        <v>1.0407142857142857</v>
      </c>
      <c r="U31" s="134" t="s">
        <v>181</v>
      </c>
      <c r="V31" s="138">
        <f>(VLOOKUP($F18,S16:Y20,6,FALSE)+T25*$F$13/2.8+VLOOKUP($F25,S21:Y22,6,FALSE)+$X$23)*1/1000</f>
        <v>1.0407142857142857</v>
      </c>
      <c r="W31" s="134" t="s">
        <v>181</v>
      </c>
      <c r="X31" s="7">
        <v>1.0542857142857143</v>
      </c>
      <c r="Y31" s="11"/>
      <c r="AA31" s="5"/>
    </row>
    <row r="32" spans="1:29" ht="18" customHeight="1" thickBot="1">
      <c r="B32" s="587" t="s">
        <v>36</v>
      </c>
      <c r="C32" s="589" t="s">
        <v>300</v>
      </c>
      <c r="D32" s="590"/>
      <c r="E32" s="591"/>
      <c r="F32" s="595" t="s">
        <v>25</v>
      </c>
      <c r="G32" s="596"/>
      <c r="H32" s="595" t="s">
        <v>26</v>
      </c>
      <c r="I32" s="597"/>
      <c r="J32" s="139"/>
      <c r="K32" s="139"/>
      <c r="L32" s="139"/>
      <c r="M32" s="139"/>
      <c r="Q32" s="140"/>
      <c r="R32" s="141" t="s">
        <v>177</v>
      </c>
      <c r="S32" s="142" t="s">
        <v>176</v>
      </c>
      <c r="T32" s="143">
        <f>IF($Y$9&lt;1,(1-$Y$9)*(VLOOKUP($F17,S5:U9,2,FALSE)+VLOOKUP($F$22,S10:U11,2,FALSE)+VLOOKUP($F$19,S2:U4,2,FALSE))/1000,0)</f>
        <v>0</v>
      </c>
      <c r="U32" s="144" t="s">
        <v>181</v>
      </c>
      <c r="V32" s="143"/>
      <c r="W32" s="144"/>
      <c r="X32" s="7">
        <v>0.54733686493495204</v>
      </c>
      <c r="Y32" s="394" t="s">
        <v>410</v>
      </c>
      <c r="Z32" s="394"/>
      <c r="AA32" s="5"/>
      <c r="AB32" s="5"/>
      <c r="AC32" s="5"/>
    </row>
    <row r="33" spans="1:33" ht="18" customHeight="1" thickBot="1">
      <c r="B33" s="588"/>
      <c r="C33" s="592"/>
      <c r="D33" s="593"/>
      <c r="E33" s="594"/>
      <c r="F33" s="598">
        <f>IF(L19="下記へ数値入力してください。","",IF(L22="下記へ数値入力してください。","",IF(L25="下記へ数値入力してください。","",Y34)))</f>
        <v>40</v>
      </c>
      <c r="G33" s="599"/>
      <c r="H33" s="598">
        <f>IF(L19="下記へ数値入力してください。","",IF(L22="下記へ数値入力してください。","",IF(L25="下記へ数値入力してください。","",Z34)))</f>
        <v>22</v>
      </c>
      <c r="I33" s="600"/>
      <c r="J33" s="147"/>
      <c r="K33" s="147"/>
      <c r="L33" s="147"/>
      <c r="M33" s="147"/>
      <c r="R33" s="634" t="s">
        <v>178</v>
      </c>
      <c r="S33" s="635"/>
      <c r="T33" s="145">
        <f>T28+0.5*T29</f>
        <v>1.6203571428571428</v>
      </c>
      <c r="U33" s="146" t="s">
        <v>181</v>
      </c>
      <c r="V33" s="145">
        <f>V28+0.5*V29</f>
        <v>1.6203571428571428</v>
      </c>
      <c r="W33" s="146" t="s">
        <v>181</v>
      </c>
      <c r="X33" s="7">
        <v>1.7131723228477111</v>
      </c>
      <c r="Y33" s="87" t="s">
        <v>411</v>
      </c>
      <c r="Z33" s="87" t="s">
        <v>412</v>
      </c>
      <c r="AA33" s="5"/>
      <c r="AB33" s="5"/>
      <c r="AC33" s="5"/>
    </row>
    <row r="34" spans="1:33" ht="18" customHeight="1" thickBot="1">
      <c r="B34" s="150"/>
      <c r="C34" s="10"/>
      <c r="D34" s="10"/>
      <c r="E34" s="10"/>
      <c r="F34" s="147"/>
      <c r="G34" s="147"/>
      <c r="H34" s="147"/>
      <c r="I34" s="147"/>
      <c r="J34" s="147"/>
      <c r="K34" s="147"/>
      <c r="L34" s="147"/>
      <c r="M34" s="147"/>
      <c r="R34" s="631" t="s">
        <v>179</v>
      </c>
      <c r="S34" s="632"/>
      <c r="T34" s="148">
        <f>T28+T29+T30+0.5*T31+T32</f>
        <v>3.8710714285714287</v>
      </c>
      <c r="U34" s="149" t="s">
        <v>181</v>
      </c>
      <c r="V34" s="148">
        <f>V28+V29+V30+0.5*V31</f>
        <v>4.5710714285714289</v>
      </c>
      <c r="W34" s="149" t="s">
        <v>181</v>
      </c>
      <c r="X34" s="7">
        <v>5.2247949020683766</v>
      </c>
      <c r="Y34" s="87">
        <f>IFERROR(ROUNDUP(((1+(1/SQRT(T34/T34)-T34/T34)*2*0.03*(0.9+$F$12+$F$13+0.5)/(1+3*0.03*(0.9+F$12+F$13+0.5)))*$F$14*$Y$5*$Y$8)/0.0196*T34,0),"")</f>
        <v>40</v>
      </c>
      <c r="Z34" s="87">
        <f>IFERROR(ROUNDUP(((1+(1/SQRT(T33/T34)-T33/T34)*2*0.03*(0.9+F$12+F$13+0.5)/(1+3*0.03*(0.9+F$12+F$13+0.5)))*$F$14*$Y$5*$Y$8)/0.0196*T33/$Y$9,0),"")</f>
        <v>22</v>
      </c>
      <c r="AA34" s="5"/>
      <c r="AB34" s="5"/>
      <c r="AC34" s="5"/>
      <c r="AD34" s="5"/>
    </row>
    <row r="35" spans="1:33" ht="18" customHeight="1">
      <c r="A35" s="96" t="s">
        <v>349</v>
      </c>
      <c r="B35" s="97"/>
      <c r="C35" s="8"/>
      <c r="D35" s="8"/>
      <c r="E35" s="8"/>
      <c r="F35" s="98"/>
      <c r="G35" s="98"/>
      <c r="H35" s="8"/>
      <c r="I35" s="98"/>
      <c r="J35" s="98"/>
      <c r="K35" s="98"/>
      <c r="L35" s="98"/>
      <c r="M35" s="98"/>
      <c r="N35" s="9"/>
      <c r="O35" s="9"/>
      <c r="P35" s="9"/>
      <c r="R35" s="80"/>
      <c r="S35" s="80"/>
      <c r="T35" s="151"/>
      <c r="U35" s="7"/>
      <c r="V35" s="151"/>
      <c r="W35" s="7"/>
      <c r="X35" s="11"/>
      <c r="Y35" s="11"/>
      <c r="AA35" s="5"/>
      <c r="AB35" s="5"/>
      <c r="AC35" s="5"/>
      <c r="AD35" s="5"/>
    </row>
    <row r="36" spans="1:33" ht="18" customHeight="1">
      <c r="A36" s="97" t="s">
        <v>427</v>
      </c>
      <c r="B36" s="97"/>
      <c r="C36" s="8"/>
      <c r="D36" s="8"/>
      <c r="E36" s="8"/>
      <c r="F36" s="98"/>
      <c r="G36" s="98"/>
      <c r="H36" s="8"/>
      <c r="I36" s="98"/>
      <c r="J36" s="98"/>
      <c r="K36" s="98"/>
      <c r="L36" s="98"/>
      <c r="M36" s="98"/>
      <c r="N36" s="9"/>
      <c r="O36" s="9"/>
      <c r="P36" s="9"/>
      <c r="R36" s="152"/>
      <c r="S36" s="140"/>
      <c r="T36" s="140"/>
      <c r="Y36" s="11"/>
      <c r="AA36" s="5"/>
      <c r="AB36" s="5"/>
      <c r="AC36" s="5"/>
      <c r="AD36" s="5"/>
    </row>
    <row r="37" spans="1:33" ht="18" customHeight="1">
      <c r="A37" s="94" t="s">
        <v>428</v>
      </c>
      <c r="B37" s="97"/>
      <c r="C37" s="8"/>
      <c r="D37" s="8"/>
      <c r="E37" s="8"/>
      <c r="F37" s="98"/>
      <c r="G37" s="98"/>
      <c r="H37" s="8"/>
      <c r="I37" s="98"/>
      <c r="J37" s="98"/>
      <c r="K37" s="98"/>
      <c r="L37" s="98"/>
      <c r="M37" s="98"/>
      <c r="N37" s="9"/>
      <c r="O37" s="9"/>
      <c r="P37" s="9"/>
      <c r="R37" s="152"/>
      <c r="S37" s="140"/>
      <c r="T37" s="140"/>
      <c r="Y37" s="11"/>
      <c r="AA37" s="5"/>
      <c r="AB37" s="5"/>
      <c r="AC37" s="5"/>
      <c r="AD37" s="5"/>
    </row>
    <row r="38" spans="1:33" ht="18" customHeight="1" thickBot="1">
      <c r="F38"/>
      <c r="G38"/>
      <c r="H38" s="4"/>
      <c r="I38" s="4"/>
      <c r="J38" s="4"/>
      <c r="K38" s="4"/>
      <c r="L38" s="4"/>
      <c r="M38" s="4"/>
      <c r="N38" s="4"/>
      <c r="O38" s="4"/>
      <c r="P38" s="4"/>
      <c r="Q38" s="5" t="b">
        <v>0</v>
      </c>
      <c r="R38" s="80"/>
      <c r="S38" s="80"/>
      <c r="T38" s="7"/>
      <c r="U38" s="7"/>
      <c r="Y38" s="11"/>
      <c r="Z38" s="11"/>
      <c r="AA38" s="5"/>
      <c r="AB38" s="5"/>
      <c r="AC38" s="5"/>
      <c r="AE38" s="5"/>
    </row>
    <row r="39" spans="1:33" ht="18" customHeight="1">
      <c r="B39" s="92" t="s">
        <v>350</v>
      </c>
      <c r="C39" s="7"/>
      <c r="F39"/>
      <c r="G39"/>
      <c r="I39" s="4"/>
      <c r="J39" s="4"/>
      <c r="K39" s="4"/>
      <c r="L39" s="4"/>
      <c r="M39" s="4"/>
      <c r="N39" s="4"/>
      <c r="O39" s="4"/>
      <c r="P39" s="4"/>
      <c r="R39" s="671" t="s">
        <v>208</v>
      </c>
      <c r="S39" s="672"/>
      <c r="T39" s="675" t="s">
        <v>205</v>
      </c>
      <c r="U39" s="677" t="s">
        <v>206</v>
      </c>
      <c r="V39" s="679" t="s">
        <v>342</v>
      </c>
      <c r="W39" s="679" t="s">
        <v>343</v>
      </c>
      <c r="X39" s="681" t="s">
        <v>320</v>
      </c>
      <c r="Y39" s="433" t="s">
        <v>344</v>
      </c>
      <c r="Z39" s="653" t="s">
        <v>207</v>
      </c>
      <c r="AA39" s="11"/>
      <c r="AB39" s="11"/>
      <c r="AC39" s="5"/>
      <c r="AD39" s="5"/>
      <c r="AE39" s="5"/>
    </row>
    <row r="40" spans="1:33" ht="18" customHeight="1" thickBot="1">
      <c r="B40" s="92" t="s">
        <v>399</v>
      </c>
      <c r="C40" s="7"/>
      <c r="F40"/>
      <c r="G40" s="153" t="s">
        <v>390</v>
      </c>
      <c r="I40" s="4"/>
      <c r="J40" s="4"/>
      <c r="K40" s="4"/>
      <c r="L40" s="4"/>
      <c r="M40" s="4"/>
      <c r="N40" s="4"/>
      <c r="O40" s="4"/>
      <c r="P40" s="4"/>
      <c r="R40" s="673"/>
      <c r="S40" s="674"/>
      <c r="T40" s="676"/>
      <c r="U40" s="678"/>
      <c r="V40" s="680"/>
      <c r="W40" s="680"/>
      <c r="X40" s="682"/>
      <c r="Y40" s="434"/>
      <c r="Z40" s="654"/>
      <c r="AA40" s="11"/>
      <c r="AB40" s="11"/>
      <c r="AC40" s="5"/>
      <c r="AD40" s="5"/>
      <c r="AE40" s="5"/>
      <c r="AF40" s="5"/>
      <c r="AG40" s="5"/>
    </row>
    <row r="41" spans="1:33" ht="18" customHeight="1" thickBot="1">
      <c r="A41" s="106"/>
      <c r="B41" s="657" t="s">
        <v>293</v>
      </c>
      <c r="C41" s="658"/>
      <c r="D41" s="459" t="s">
        <v>218</v>
      </c>
      <c r="E41" s="460"/>
      <c r="F41" s="461"/>
      <c r="G41" s="160"/>
      <c r="H41" s="160"/>
      <c r="I41" s="160"/>
      <c r="J41" s="160"/>
      <c r="K41" s="160"/>
      <c r="L41" s="160"/>
      <c r="M41" s="160"/>
      <c r="N41" s="160"/>
      <c r="O41" s="160"/>
      <c r="P41" s="160"/>
      <c r="Q41" s="4" t="b">
        <v>1</v>
      </c>
      <c r="R41" s="655" t="s">
        <v>26</v>
      </c>
      <c r="S41" s="656"/>
      <c r="T41" s="154">
        <f>V28+0.5*V29</f>
        <v>1.6203571428571428</v>
      </c>
      <c r="U41" s="155">
        <f>V28+0.5*($T$25*$F$12/2.8)/1000</f>
        <v>1.2003571428571429</v>
      </c>
      <c r="V41" s="156"/>
      <c r="W41" s="156"/>
      <c r="X41" s="157">
        <f>$F$12*1000-105</f>
        <v>2705</v>
      </c>
      <c r="Y41" s="158">
        <f>IF($Q$41=TRUE,17.7,"")</f>
        <v>17.7</v>
      </c>
      <c r="Z41" s="159">
        <v>5</v>
      </c>
      <c r="AA41" s="11"/>
      <c r="AB41" s="11"/>
      <c r="AC41" s="11"/>
      <c r="AD41" s="5"/>
      <c r="AE41" s="11"/>
    </row>
    <row r="42" spans="1:33" ht="18" customHeight="1" thickBot="1">
      <c r="B42" s="464"/>
      <c r="C42" s="474"/>
      <c r="D42" s="661" t="s">
        <v>504</v>
      </c>
      <c r="E42" s="663" t="s">
        <v>505</v>
      </c>
      <c r="F42" s="664"/>
      <c r="G42" s="160"/>
      <c r="H42" s="160"/>
      <c r="I42" s="160"/>
      <c r="J42" s="160"/>
      <c r="K42" s="160"/>
      <c r="L42" s="160"/>
      <c r="M42" s="160"/>
      <c r="N42" s="160"/>
      <c r="O42" s="160"/>
      <c r="P42" s="160"/>
      <c r="Q42" s="4"/>
      <c r="R42" s="659" t="s">
        <v>25</v>
      </c>
      <c r="S42" s="660"/>
      <c r="T42" s="161">
        <f>V28+V29+V30+V32+0.5*V31</f>
        <v>4.5710714285714289</v>
      </c>
      <c r="U42" s="162">
        <f>V28+($T$25*$F$12/2.8)/1000+V30+V32+0.5*($T$25*$F$13/2.8)/1000</f>
        <v>3.3110714285714282</v>
      </c>
      <c r="V42" s="163">
        <f>V32+0.5*V31</f>
        <v>0.52035714285714285</v>
      </c>
      <c r="W42" s="164">
        <f>V32+0.5*($T$25*$F$13/2.8)/1000</f>
        <v>0.10035714285714287</v>
      </c>
      <c r="X42" s="165">
        <f>$F$13*1000-120</f>
        <v>2690</v>
      </c>
      <c r="Y42" s="166">
        <f>IF($Q$41=TRUE,17.7,"")</f>
        <v>17.7</v>
      </c>
      <c r="AA42" s="5"/>
      <c r="AB42" s="5"/>
      <c r="AC42" s="11"/>
      <c r="AD42" s="11"/>
      <c r="AE42" s="5"/>
    </row>
    <row r="43" spans="1:33" ht="18" customHeight="1" thickBot="1">
      <c r="B43" s="466"/>
      <c r="C43" s="476"/>
      <c r="D43" s="662"/>
      <c r="E43" s="665"/>
      <c r="F43" s="666"/>
      <c r="G43" s="160"/>
      <c r="H43" s="160"/>
      <c r="I43" s="160"/>
      <c r="J43" s="160"/>
      <c r="K43" s="160"/>
      <c r="L43" s="160"/>
      <c r="M43" s="160"/>
      <c r="N43" s="160"/>
      <c r="O43" s="160"/>
      <c r="P43" s="160"/>
      <c r="Q43" s="160"/>
      <c r="R43" s="160"/>
      <c r="S43" s="4"/>
      <c r="T43" s="168"/>
      <c r="U43" s="80"/>
      <c r="V43" s="80"/>
      <c r="W43" s="169"/>
      <c r="X43" s="170"/>
      <c r="AA43" s="5"/>
      <c r="AB43" s="11"/>
      <c r="AC43" s="5"/>
      <c r="AD43" s="5"/>
      <c r="AE43" s="5"/>
    </row>
    <row r="44" spans="1:33" ht="18" customHeight="1" thickBot="1">
      <c r="B44" s="667" t="s">
        <v>26</v>
      </c>
      <c r="C44" s="668"/>
      <c r="D44" s="177" t="str">
        <f>IFERROR(IF($Q$41=TRUE,"１/"&amp;ROUNDDOWN((F12*1000-105)/E44,1),""),"")</f>
        <v>１/34.6</v>
      </c>
      <c r="E44" s="669">
        <f>IF($Q$41=TRUE,IF(V45="","",MAX(V45:W45)),"")</f>
        <v>78</v>
      </c>
      <c r="F44" s="670"/>
      <c r="G44" s="168"/>
      <c r="H44" s="168"/>
      <c r="I44" s="168"/>
      <c r="J44" s="168"/>
      <c r="K44" s="168"/>
      <c r="L44" s="168"/>
      <c r="M44" s="168"/>
      <c r="N44" s="168"/>
      <c r="O44" s="168"/>
      <c r="P44" s="168"/>
      <c r="Q44" s="160"/>
      <c r="R44" s="171"/>
      <c r="S44" s="172" t="s">
        <v>210</v>
      </c>
      <c r="T44" s="173" t="s">
        <v>209</v>
      </c>
      <c r="U44" s="174" t="s">
        <v>211</v>
      </c>
      <c r="V44" s="174" t="s">
        <v>298</v>
      </c>
      <c r="W44" s="174" t="s">
        <v>297</v>
      </c>
      <c r="X44" s="175" t="s">
        <v>289</v>
      </c>
      <c r="AA44" s="11"/>
      <c r="AB44" s="11"/>
      <c r="AC44" s="11"/>
      <c r="AD44" s="5"/>
      <c r="AE44" s="5"/>
    </row>
    <row r="45" spans="1:33" ht="18" customHeight="1" thickBot="1">
      <c r="B45" s="483" t="s">
        <v>25</v>
      </c>
      <c r="C45" s="484"/>
      <c r="D45" s="184" t="str">
        <f>IFERROR(IF($Q$41=TRUE,"１/"&amp;ROUNDDOWN((F13*1000-120)/E45,1),""),"")</f>
        <v>１/26.9</v>
      </c>
      <c r="E45" s="485">
        <f>IF($Q$41=TRUE,IF(V46="","",MAX(V46:W46)),"")</f>
        <v>100</v>
      </c>
      <c r="F45" s="486"/>
      <c r="G45" s="168"/>
      <c r="H45" s="168"/>
      <c r="I45" s="168"/>
      <c r="J45" s="168"/>
      <c r="K45" s="168"/>
      <c r="L45" s="168"/>
      <c r="M45" s="168"/>
      <c r="N45" s="168"/>
      <c r="O45" s="168"/>
      <c r="P45" s="168"/>
      <c r="Q45" s="168"/>
      <c r="R45" s="178" t="s">
        <v>183</v>
      </c>
      <c r="S45" s="179">
        <f>$X$41/52.7</f>
        <v>51.328273244781784</v>
      </c>
      <c r="T45" s="180">
        <f>$X$41/8.66</f>
        <v>312.35565819861432</v>
      </c>
      <c r="U45" s="181">
        <f>SQRT($T$41*$Z$41/(1.1/3*Y41)*1000)</f>
        <v>35.331984214286635</v>
      </c>
      <c r="V45" s="181">
        <f>IFERROR(ROUNDUP(IF(S45&gt;U45,(12*($X$41)^2/3000*U45^2)^(1/4),IF(T45&lt;U45,U45,$X$41/75.05+SQRT(($X$41/75.05)^2+U45^2/1.3))),0),"")</f>
        <v>78</v>
      </c>
      <c r="W45" s="181">
        <f>ROUNDUP(SQRT(12)*X41/150,0)</f>
        <v>63</v>
      </c>
      <c r="X45" s="182" t="e">
        <f>IF(#REF!="JAS機械等級区分構造用製材","機械",IF(#REF!="JAS目視等級区分構造用製材", "目視",IF(#REF!="無等級材","無等級",IF(#REF!="JAS同一等級構成集成材","集成材","LVL"))))</f>
        <v>#REF!</v>
      </c>
      <c r="AA45" s="11"/>
      <c r="AB45" s="5"/>
      <c r="AC45" s="11"/>
      <c r="AD45" s="5"/>
      <c r="AE45" s="5"/>
      <c r="AF45" s="5"/>
      <c r="AG45" s="5"/>
    </row>
    <row r="46" spans="1:33" ht="18" customHeight="1" thickBot="1">
      <c r="B46" s="190" t="s">
        <v>503</v>
      </c>
      <c r="C46" s="190"/>
      <c r="D46" s="190"/>
      <c r="E46" s="190"/>
      <c r="F46" s="190"/>
      <c r="G46" s="190"/>
      <c r="H46" s="190"/>
      <c r="I46" s="190"/>
      <c r="J46" s="190"/>
      <c r="K46" s="190"/>
      <c r="L46" s="190"/>
      <c r="M46" s="190"/>
      <c r="N46" s="190"/>
      <c r="O46" s="190"/>
      <c r="P46" s="190"/>
      <c r="Q46" s="168"/>
      <c r="R46" s="185" t="s">
        <v>212</v>
      </c>
      <c r="S46" s="186">
        <f>$X$42/52.7</f>
        <v>51.043643263757112</v>
      </c>
      <c r="T46" s="187">
        <f>$X$42/8.66</f>
        <v>310.62355658198612</v>
      </c>
      <c r="U46" s="188">
        <f>SQRT($T$42*$Z$41/(1.1/3*Y42)*1000)</f>
        <v>59.343295142807328</v>
      </c>
      <c r="V46" s="188">
        <f>IFERROR(ROUNDUP(IF(S46&gt;U46,(12*($X$42)^2/3000*U46^2)^(1/4),IF(T46&lt;U46,U46,$X$42/75.05+SQRT(($X$42/75.05)^2+U46^2/1.3))),0),"")</f>
        <v>100</v>
      </c>
      <c r="W46" s="188">
        <f>ROUNDUP(SQRT(12)*X42/150,0)</f>
        <v>63</v>
      </c>
      <c r="X46" s="189" t="e">
        <f>IF(#REF!="JAS機械等級区分構造用製材","機械",IF(#REF!="JAS目視等級区分構造用製材", "目視",IF(#REF!="無等級材","無等級",IF(#REF!="JAS同一等級構成集成材","集成材","LVL"))))</f>
        <v>#REF!</v>
      </c>
      <c r="AA46" s="11"/>
      <c r="AB46" s="5"/>
      <c r="AC46" s="11"/>
      <c r="AD46" s="5"/>
      <c r="AE46" s="5"/>
      <c r="AF46" s="5"/>
      <c r="AG46" s="5"/>
    </row>
    <row r="47" spans="1:33" ht="18" customHeight="1">
      <c r="A47" s="7"/>
      <c r="B47" s="705" t="s">
        <v>458</v>
      </c>
      <c r="C47" s="705"/>
      <c r="D47" s="705"/>
      <c r="E47" s="705"/>
      <c r="F47" s="705"/>
      <c r="G47" s="705"/>
      <c r="H47" s="705"/>
      <c r="I47" s="705"/>
      <c r="J47" s="705"/>
      <c r="K47" s="705"/>
      <c r="L47" s="705"/>
      <c r="M47" s="697" t="s">
        <v>390</v>
      </c>
      <c r="N47" s="697"/>
      <c r="O47" s="100"/>
      <c r="P47" s="100"/>
      <c r="Q47" s="168"/>
      <c r="R47" s="7"/>
      <c r="S47" s="7"/>
      <c r="T47" s="7"/>
      <c r="U47" s="7"/>
      <c r="V47" s="7"/>
      <c r="W47" s="7"/>
      <c r="X47" s="11"/>
      <c r="Y47" s="11"/>
      <c r="AA47" s="11"/>
      <c r="AB47" s="5"/>
      <c r="AC47" s="5"/>
      <c r="AD47" s="5"/>
      <c r="AE47" s="5"/>
      <c r="AF47" s="5"/>
      <c r="AG47" s="5"/>
    </row>
    <row r="48" spans="1:33" ht="18" customHeight="1">
      <c r="B48" s="140"/>
      <c r="C48" s="140"/>
      <c r="D48" s="140"/>
      <c r="E48" s="140"/>
      <c r="F48" s="140"/>
      <c r="G48" s="140"/>
      <c r="H48" s="140"/>
      <c r="I48" s="140"/>
      <c r="J48" s="140"/>
      <c r="M48" s="100"/>
      <c r="N48" s="100"/>
      <c r="O48" s="100"/>
      <c r="P48" s="100"/>
      <c r="Q48" s="168"/>
      <c r="R48" s="168"/>
      <c r="Z48" s="11"/>
      <c r="AA48" s="11"/>
      <c r="AB48" s="11"/>
      <c r="AC48" s="5"/>
      <c r="AD48" s="5"/>
      <c r="AE48" s="5"/>
      <c r="AF48" s="5"/>
    </row>
    <row r="49" spans="1:35" ht="30" customHeight="1">
      <c r="B49" s="698" t="s">
        <v>351</v>
      </c>
      <c r="C49" s="698"/>
      <c r="D49" s="698"/>
      <c r="E49" s="698"/>
      <c r="F49" s="698"/>
      <c r="G49" s="698"/>
      <c r="H49" s="698"/>
      <c r="I49" s="698"/>
      <c r="J49" s="698"/>
      <c r="K49" s="698"/>
      <c r="L49" s="698"/>
      <c r="M49" s="698"/>
      <c r="N49" s="698"/>
      <c r="O49" s="698"/>
      <c r="P49" s="348"/>
      <c r="Q49" s="168"/>
      <c r="V49" s="191"/>
      <c r="Y49" s="11"/>
      <c r="Z49" s="11"/>
      <c r="AA49" s="11"/>
      <c r="AB49" s="5"/>
      <c r="AC49" s="5"/>
      <c r="AD49" s="5"/>
    </row>
    <row r="50" spans="1:35" s="7" customFormat="1" ht="18" customHeight="1">
      <c r="A50"/>
      <c r="B50" s="92" t="s">
        <v>399</v>
      </c>
      <c r="D50"/>
      <c r="E50"/>
      <c r="F50"/>
      <c r="G50" s="153" t="s">
        <v>390</v>
      </c>
      <c r="H50"/>
      <c r="I50" s="4"/>
      <c r="J50" s="4"/>
      <c r="K50" s="4"/>
      <c r="L50" s="4"/>
      <c r="M50" s="4"/>
      <c r="N50" s="4"/>
      <c r="O50" s="4"/>
      <c r="P50" s="4"/>
      <c r="Q50" s="4" t="b">
        <v>1</v>
      </c>
      <c r="R50" s="5"/>
      <c r="S50" s="5"/>
      <c r="T50" s="5"/>
      <c r="U50" s="5"/>
      <c r="V50" s="5"/>
      <c r="W50" s="5"/>
      <c r="X50" s="5"/>
      <c r="Y50" s="11"/>
      <c r="Z50" s="11"/>
      <c r="AA50" s="11"/>
      <c r="AB50" s="5"/>
      <c r="AC50" s="5"/>
      <c r="AD50"/>
      <c r="AF50"/>
      <c r="AG50"/>
    </row>
    <row r="51" spans="1:35" s="7" customFormat="1" ht="18" customHeight="1" thickBot="1">
      <c r="B51" s="487" t="s">
        <v>421</v>
      </c>
      <c r="C51" s="487"/>
      <c r="D51" s="487"/>
      <c r="E51" s="487"/>
      <c r="F51" s="487"/>
      <c r="G51" s="487"/>
      <c r="H51" s="487"/>
      <c r="I51" s="487"/>
      <c r="J51" s="487"/>
      <c r="K51" s="487"/>
      <c r="L51" s="487"/>
      <c r="M51" s="487"/>
      <c r="N51" s="487"/>
      <c r="O51" s="487"/>
      <c r="P51" s="359"/>
      <c r="Q51" s="4"/>
      <c r="R51" s="5"/>
      <c r="S51" s="5"/>
      <c r="T51" s="5"/>
      <c r="U51" s="5"/>
      <c r="V51" s="5"/>
      <c r="W51" s="5"/>
      <c r="X51" s="5"/>
      <c r="Y51" s="11"/>
      <c r="Z51" s="11"/>
      <c r="AA51" s="5"/>
      <c r="AB51" s="5"/>
      <c r="AC51" s="5"/>
      <c r="AD51"/>
      <c r="AF51"/>
    </row>
    <row r="52" spans="1:35" s="7" customFormat="1" ht="18" customHeight="1" thickBot="1">
      <c r="A52" s="106"/>
      <c r="B52" s="657" t="s">
        <v>277</v>
      </c>
      <c r="C52" s="658"/>
      <c r="D52" s="667" t="s">
        <v>219</v>
      </c>
      <c r="E52" s="699"/>
      <c r="F52" s="699"/>
      <c r="G52" s="699"/>
      <c r="H52" s="699"/>
      <c r="I52" s="699"/>
      <c r="J52" s="699"/>
      <c r="K52" s="668"/>
      <c r="L52" s="459" t="s">
        <v>218</v>
      </c>
      <c r="M52" s="460"/>
      <c r="N52" s="460"/>
      <c r="O52" s="461"/>
      <c r="P52" s="360"/>
      <c r="Q52" s="4" t="b">
        <v>1</v>
      </c>
      <c r="R52" s="5"/>
      <c r="S52" s="5"/>
      <c r="T52" s="5"/>
      <c r="U52" s="5"/>
      <c r="V52" s="5"/>
      <c r="W52" s="5"/>
      <c r="X52" s="5"/>
      <c r="Y52" s="11"/>
      <c r="Z52" s="11"/>
      <c r="AA52" s="5"/>
      <c r="AB52" s="5"/>
      <c r="AC52" s="5"/>
      <c r="AD52"/>
      <c r="AF52"/>
    </row>
    <row r="53" spans="1:35" ht="36" customHeight="1" thickBot="1">
      <c r="B53" s="466"/>
      <c r="C53" s="476"/>
      <c r="D53" s="483" t="s">
        <v>244</v>
      </c>
      <c r="E53" s="700"/>
      <c r="F53" s="701"/>
      <c r="G53" s="706" t="s">
        <v>245</v>
      </c>
      <c r="H53" s="707"/>
      <c r="I53" s="692" t="s">
        <v>276</v>
      </c>
      <c r="J53" s="693"/>
      <c r="K53" s="694"/>
      <c r="L53" s="683" t="s">
        <v>423</v>
      </c>
      <c r="M53" s="684"/>
      <c r="N53" s="685" t="s">
        <v>220</v>
      </c>
      <c r="O53" s="686"/>
      <c r="P53" s="267"/>
      <c r="Q53" s="160"/>
      <c r="R53" s="195"/>
      <c r="S53" s="196" t="s">
        <v>210</v>
      </c>
      <c r="T53" s="197" t="s">
        <v>209</v>
      </c>
      <c r="U53" s="198" t="s">
        <v>211</v>
      </c>
      <c r="V53" s="198" t="s">
        <v>299</v>
      </c>
      <c r="W53" s="199" t="s">
        <v>297</v>
      </c>
      <c r="X53" s="175" t="s">
        <v>289</v>
      </c>
      <c r="AA53" s="11"/>
      <c r="AB53" s="5"/>
      <c r="AC53" s="5"/>
      <c r="AD53" s="7"/>
      <c r="AE53" s="7"/>
      <c r="AF53" s="7"/>
      <c r="AG53" s="7"/>
    </row>
    <row r="54" spans="1:35" ht="18.600000000000001" customHeight="1">
      <c r="B54" s="687" t="s">
        <v>26</v>
      </c>
      <c r="C54" s="200" t="s">
        <v>161</v>
      </c>
      <c r="D54" s="440" t="s">
        <v>316</v>
      </c>
      <c r="E54" s="441"/>
      <c r="F54" s="442"/>
      <c r="G54" s="443" t="s">
        <v>80</v>
      </c>
      <c r="H54" s="444"/>
      <c r="I54" s="445" t="s">
        <v>58</v>
      </c>
      <c r="J54" s="441"/>
      <c r="K54" s="446"/>
      <c r="L54" s="690">
        <f>IF($Q$50=TRUE,IFERROR(VLOOKUP(D54&amp;G54&amp;I54,柱の圧縮基準強度!$A$4:$F$187,6,0),"該当なし"),"")</f>
        <v>20.399999999999999</v>
      </c>
      <c r="M54" s="691"/>
      <c r="N54" s="488">
        <f t="shared" ref="N54:N61" si="2">IF($Q$50=TRUE,IF(V54="","",MAX(V54:W54)),"")</f>
        <v>76</v>
      </c>
      <c r="O54" s="489"/>
      <c r="P54" s="267"/>
      <c r="Q54" s="168"/>
      <c r="R54" s="178" t="s">
        <v>183</v>
      </c>
      <c r="S54" s="179">
        <f>$X$41/52.7</f>
        <v>51.328273244781784</v>
      </c>
      <c r="T54" s="180">
        <f>$X$41/8.66</f>
        <v>312.35565819861432</v>
      </c>
      <c r="U54" s="180">
        <f>SQRT($T$41*$Z$41/(1.1/3*L54)*1000)</f>
        <v>32.910886229196841</v>
      </c>
      <c r="V54" s="180">
        <f>IFERROR(ROUNDUP(IF(S54&gt;U54,(12*($X$41)^2/3000*U54^2)^(1/4),IF(T54&lt;U54,U54,$X$41/75.05+SQRT(($X$41/75.05)^2+U54^2/1.3))),0),"")</f>
        <v>76</v>
      </c>
      <c r="W54" s="180">
        <f>ROUNDUP(SQRT(12)*$X$41/150,0)</f>
        <v>63</v>
      </c>
      <c r="X54" s="182" t="str">
        <f>IF(D54="JAS機械等級区分構造用製材","機械",IF(D54="JAS目視等級区分構造用製材", "目視",IF(D54="無等級材","無等級",IF(D54="JAS同一等級構成集成材","集成材","LVL"))))</f>
        <v>目視</v>
      </c>
      <c r="AA54" s="11"/>
      <c r="AB54" s="5"/>
      <c r="AC54" s="5"/>
      <c r="AD54" s="7"/>
      <c r="AE54" s="5"/>
      <c r="AF54" s="7"/>
    </row>
    <row r="55" spans="1:35" ht="18" customHeight="1">
      <c r="B55" s="688"/>
      <c r="C55" s="201" t="s">
        <v>162</v>
      </c>
      <c r="D55" s="490" t="s">
        <v>249</v>
      </c>
      <c r="E55" s="422"/>
      <c r="F55" s="491"/>
      <c r="G55" s="492" t="s">
        <v>317</v>
      </c>
      <c r="H55" s="493"/>
      <c r="I55" s="421" t="s">
        <v>459</v>
      </c>
      <c r="J55" s="422"/>
      <c r="K55" s="423"/>
      <c r="L55" s="424">
        <f>IF($Q$50=TRUE,IFERROR(VLOOKUP(D55&amp;G55&amp;I55,柱の圧縮基準強度!$A$4:$F$187,6,0),"該当なし"),"")</f>
        <v>26</v>
      </c>
      <c r="M55" s="425"/>
      <c r="N55" s="419">
        <f t="shared" si="2"/>
        <v>71</v>
      </c>
      <c r="O55" s="420"/>
      <c r="P55" s="267"/>
      <c r="Q55" s="168"/>
      <c r="R55" s="202" t="s">
        <v>215</v>
      </c>
      <c r="S55" s="203">
        <f>$X$41/52.7</f>
        <v>51.328273244781784</v>
      </c>
      <c r="T55" s="204">
        <f>$X$41/8.66</f>
        <v>312.35565819861432</v>
      </c>
      <c r="U55" s="204">
        <f>SQRT($T$41*$Z$41/(1.1/3*L55)*1000)</f>
        <v>29.151975273344039</v>
      </c>
      <c r="V55" s="204">
        <f>IFERROR(ROUNDUP(IF(S55&gt;U55,(12*$X$41^2/3000*U55^2)^(1/4),IF(T55&lt;U55,U55,$X$41/75.05+SQRT(($X$41/75.05)^2+U55^2/1.3))),0),"")</f>
        <v>71</v>
      </c>
      <c r="W55" s="204">
        <f>ROUNDUP(SQRT(12)*$X$41/150,0)</f>
        <v>63</v>
      </c>
      <c r="X55" s="201" t="str">
        <f>IF(D55="JAS機械等級区分構造用製材","機械",IF(D55="JAS目視等級区分構造用製材", "目視",IF(D55="無等級材","無等級",IF(D55="JAS同一等級構成集成材","集成材","LVL"))))</f>
        <v>集成材</v>
      </c>
      <c r="AA55" s="11"/>
      <c r="AB55" s="5"/>
      <c r="AC55" s="5"/>
      <c r="AD55" s="7"/>
      <c r="AE55" s="5"/>
      <c r="AG55" s="7"/>
      <c r="AH55" s="7"/>
      <c r="AI55" s="7"/>
    </row>
    <row r="56" spans="1:35" ht="18" customHeight="1">
      <c r="B56" s="688"/>
      <c r="C56" s="201" t="s">
        <v>170</v>
      </c>
      <c r="D56" s="490"/>
      <c r="E56" s="422"/>
      <c r="F56" s="491"/>
      <c r="G56" s="492"/>
      <c r="H56" s="493"/>
      <c r="I56" s="421"/>
      <c r="J56" s="422"/>
      <c r="K56" s="423"/>
      <c r="L56" s="424" t="str">
        <f>IF($Q$50=TRUE,IFERROR(VLOOKUP(D56&amp;G56&amp;I56,柱の圧縮基準強度!$A$4:$F$187,6,0),"該当なし"),"")</f>
        <v>該当なし</v>
      </c>
      <c r="M56" s="425"/>
      <c r="N56" s="419" t="str">
        <f t="shared" si="2"/>
        <v/>
      </c>
      <c r="O56" s="420"/>
      <c r="P56" s="267"/>
      <c r="Q56" s="168"/>
      <c r="R56" s="202" t="s">
        <v>217</v>
      </c>
      <c r="S56" s="203">
        <f>$X$41/52.7</f>
        <v>51.328273244781784</v>
      </c>
      <c r="T56" s="204">
        <f>$X$41/8.66</f>
        <v>312.35565819861432</v>
      </c>
      <c r="U56" s="204" t="e">
        <f>SQRT($T$41*$Z$41/(1.1/3*L56)*1000)</f>
        <v>#VALUE!</v>
      </c>
      <c r="V56" s="204" t="str">
        <f>IFERROR(ROUNDUP(IF(S56&gt;U56,(12*($X$41)^2/3000*U56^2)^(1/4),IF(T56&lt;U56,U56,$X$41/75.05+SQRT(($X$41/75.05)^2+U56^2/1.3))),0),"")</f>
        <v/>
      </c>
      <c r="W56" s="204">
        <f>ROUNDUP(SQRT(12)*$X$41/150,0)</f>
        <v>63</v>
      </c>
      <c r="X56" s="201" t="str">
        <f>IF(D56="JAS機械等級区分構造用製材","機械",IF(D56="JAS目視等級区分構造用製材", "目視",IF(D56="無等級材","無等級",IF(D56="JAS同一等級構成集成材","集成材","LVL"))))</f>
        <v>LVL</v>
      </c>
      <c r="AA56" s="11"/>
      <c r="AB56" s="5"/>
      <c r="AC56" s="5"/>
      <c r="AD56" s="7"/>
      <c r="AF56" s="7"/>
    </row>
    <row r="57" spans="1:35" ht="18" customHeight="1" thickBot="1">
      <c r="B57" s="689"/>
      <c r="C57" s="205" t="s">
        <v>171</v>
      </c>
      <c r="D57" s="702" t="s">
        <v>322</v>
      </c>
      <c r="E57" s="703"/>
      <c r="F57" s="703"/>
      <c r="G57" s="703"/>
      <c r="H57" s="704"/>
      <c r="I57" s="426" t="s">
        <v>323</v>
      </c>
      <c r="J57" s="427"/>
      <c r="K57" s="428"/>
      <c r="L57" s="429"/>
      <c r="M57" s="430"/>
      <c r="N57" s="431" t="str">
        <f t="shared" si="2"/>
        <v/>
      </c>
      <c r="O57" s="432"/>
      <c r="P57" s="267"/>
      <c r="Q57" s="168"/>
      <c r="R57" s="202" t="s">
        <v>310</v>
      </c>
      <c r="S57" s="203">
        <f>$X$41/52.7</f>
        <v>51.328273244781784</v>
      </c>
      <c r="T57" s="204">
        <f>$X$41/8.66</f>
        <v>312.35565819861432</v>
      </c>
      <c r="U57" s="204" t="e">
        <f>SQRT($T$41*$Z$41/(1.1/3*L57)*1000)</f>
        <v>#DIV/0!</v>
      </c>
      <c r="V57" s="204" t="str">
        <f>IFERROR(ROUNDUP(IF(S57&gt;U57,(12*$X$41^2/3000*U57^2)^(1/4),IF(T57&lt;U57,U57,$X$41/75.05+SQRT(($X$41/75.05)^2+U57^2/1.3))),0),"")</f>
        <v/>
      </c>
      <c r="W57" s="204">
        <f>ROUNDUP(SQRT(12)*$X$41/150,0)</f>
        <v>63</v>
      </c>
      <c r="X57" s="201"/>
      <c r="AA57" s="11"/>
      <c r="AB57" s="5"/>
      <c r="AC57" s="5"/>
      <c r="AD57" s="5"/>
      <c r="AF57" s="7"/>
    </row>
    <row r="58" spans="1:35" ht="18" customHeight="1">
      <c r="B58" s="687" t="s">
        <v>25</v>
      </c>
      <c r="C58" s="200" t="s">
        <v>161</v>
      </c>
      <c r="D58" s="440" t="s">
        <v>316</v>
      </c>
      <c r="E58" s="441"/>
      <c r="F58" s="442"/>
      <c r="G58" s="443" t="s">
        <v>80</v>
      </c>
      <c r="H58" s="444"/>
      <c r="I58" s="445" t="s">
        <v>58</v>
      </c>
      <c r="J58" s="441"/>
      <c r="K58" s="446"/>
      <c r="L58" s="695">
        <f>IF($Q$50=TRUE,IFERROR(VLOOKUP(D58&amp;G58&amp;I58,柱の圧縮基準強度!$A$4:$F$187,6,0),"該当なし"),"")</f>
        <v>20.399999999999999</v>
      </c>
      <c r="M58" s="696"/>
      <c r="N58" s="488">
        <f t="shared" si="2"/>
        <v>97</v>
      </c>
      <c r="O58" s="489"/>
      <c r="P58" s="267"/>
      <c r="Q58" s="168"/>
      <c r="R58" s="202" t="s">
        <v>212</v>
      </c>
      <c r="S58" s="203">
        <f>$X$42/52.7</f>
        <v>51.043643263757112</v>
      </c>
      <c r="T58" s="204">
        <f>$X$42/8.66</f>
        <v>310.62355658198612</v>
      </c>
      <c r="U58" s="204">
        <f>SQRT($T$42*$Z$41/(1.1/3*L58)*1000)</f>
        <v>55.27683990419257</v>
      </c>
      <c r="V58" s="204">
        <f>IFERROR(ROUNDUP(IF(S58&gt;U58,(12*($X$42)^2/3000*U58^2)^(1/4),IF(T58&lt;U58,U58,$X$42/75.05+SQRT(($X$42/75.05)^2+U58^2/1.3))),0),"")</f>
        <v>97</v>
      </c>
      <c r="W58" s="204">
        <f>ROUNDUP(SQRT(12)*$X$42/150,0)</f>
        <v>63</v>
      </c>
      <c r="X58" s="201" t="str">
        <f>IF(D58="JAS機械等級区分構造用製材","機械",IF(D58="JAS目視等級区分構造用製材", "目視",IF(D58="無等級材","無等級",IF(D58="JAS同一等級構成集成材","集成材","LVL"))))</f>
        <v>目視</v>
      </c>
      <c r="AA58" s="11"/>
      <c r="AB58" s="5"/>
      <c r="AC58" s="5"/>
      <c r="AD58" s="7"/>
      <c r="AF58" s="7"/>
    </row>
    <row r="59" spans="1:35" ht="18" customHeight="1">
      <c r="B59" s="688"/>
      <c r="C59" s="201" t="s">
        <v>162</v>
      </c>
      <c r="D59" s="490" t="s">
        <v>249</v>
      </c>
      <c r="E59" s="422"/>
      <c r="F59" s="491"/>
      <c r="G59" s="492" t="s">
        <v>317</v>
      </c>
      <c r="H59" s="493"/>
      <c r="I59" s="421" t="s">
        <v>459</v>
      </c>
      <c r="J59" s="422"/>
      <c r="K59" s="423"/>
      <c r="L59" s="424">
        <f>IF($Q$50=TRUE,IFERROR(VLOOKUP(D59&amp;G59&amp;I59,柱の圧縮基準強度!$A$4:$F$187,6,0),"該当なし"),"")</f>
        <v>26</v>
      </c>
      <c r="M59" s="425"/>
      <c r="N59" s="419">
        <f t="shared" si="2"/>
        <v>92</v>
      </c>
      <c r="O59" s="420"/>
      <c r="P59" s="267"/>
      <c r="Q59" s="168"/>
      <c r="R59" s="202" t="s">
        <v>213</v>
      </c>
      <c r="S59" s="203">
        <f>$X$42/52.7</f>
        <v>51.043643263757112</v>
      </c>
      <c r="T59" s="204">
        <f>$X$42/8.66</f>
        <v>310.62355658198612</v>
      </c>
      <c r="U59" s="204">
        <f>SQRT($T$42*$Z$41/(1.1/3*L59)*1000)</f>
        <v>48.963405569007193</v>
      </c>
      <c r="V59" s="204">
        <f>IFERROR(ROUNDUP(IF(S59&gt;U59,(12*($X$42)^2/3000*U59^2)^(1/4),IF(T59&lt;U59,U59,$X$42/75.05+SQRT(($X$42/75.05)^2+U59^2/1.3))),0),"")</f>
        <v>92</v>
      </c>
      <c r="W59" s="204">
        <f>ROUNDUP(SQRT(12)*$X$42/150,0)</f>
        <v>63</v>
      </c>
      <c r="X59" s="201" t="str">
        <f>IF(D59="JAS機械等級区分構造用製材","機械",IF(D59="JAS目視等級区分構造用製材", "目視",IF(D59="無等級材","無等級",IF(D59="JAS同一等級構成集成材","集成材","LVL"))))</f>
        <v>集成材</v>
      </c>
      <c r="AA59" s="11"/>
      <c r="AB59" s="11"/>
      <c r="AC59" s="5"/>
      <c r="AD59" s="7"/>
      <c r="AF59" s="7"/>
    </row>
    <row r="60" spans="1:35" ht="18" customHeight="1">
      <c r="B60" s="688"/>
      <c r="C60" s="201" t="s">
        <v>170</v>
      </c>
      <c r="D60" s="490"/>
      <c r="E60" s="422"/>
      <c r="F60" s="491"/>
      <c r="G60" s="492"/>
      <c r="H60" s="493"/>
      <c r="I60" s="421"/>
      <c r="J60" s="422"/>
      <c r="K60" s="423"/>
      <c r="L60" s="424" t="str">
        <f>IF($Q$50=TRUE,IFERROR(VLOOKUP(D60&amp;G60&amp;I60,柱の圧縮基準強度!$A$4:$F$187,6,0),"該当なし"),"")</f>
        <v>該当なし</v>
      </c>
      <c r="M60" s="425"/>
      <c r="N60" s="419" t="str">
        <f t="shared" si="2"/>
        <v/>
      </c>
      <c r="O60" s="420"/>
      <c r="P60" s="267"/>
      <c r="Q60" s="168"/>
      <c r="R60" s="202" t="s">
        <v>216</v>
      </c>
      <c r="S60" s="203">
        <f>$X$42/52.7</f>
        <v>51.043643263757112</v>
      </c>
      <c r="T60" s="204">
        <f>$X$42/8.66</f>
        <v>310.62355658198612</v>
      </c>
      <c r="U60" s="204" t="e">
        <f>SQRT($T$42*$Z$41/(1.1/3*L60)*1000)</f>
        <v>#VALUE!</v>
      </c>
      <c r="V60" s="204" t="str">
        <f>IFERROR(ROUNDUP(IF(S60&gt;U60,(12*($X$42)^2/3000*U60^2)^(1/4),IF(T60&lt;U60,U60,$X$42/75.05+SQRT(($X$42/75.05)^2+U60^2/1.3))),0),"")</f>
        <v/>
      </c>
      <c r="W60" s="204">
        <f>ROUNDUP(SQRT(12)*$X$42/150,0)</f>
        <v>63</v>
      </c>
      <c r="X60" s="201" t="str">
        <f>IF(D60="JAS機械等級区分構造用製材","機械",IF(D60="JAS目視等級区分構造用製材", "目視",IF(D60="無等級材","無等級",IF(D60="JAS同一等級構成集成材","集成材","LVL"))))</f>
        <v>LVL</v>
      </c>
      <c r="AA60" s="11"/>
      <c r="AB60" s="11"/>
      <c r="AC60" s="5"/>
      <c r="AD60" s="5"/>
      <c r="AF60" s="7"/>
    </row>
    <row r="61" spans="1:35" s="7" customFormat="1" ht="18" customHeight="1" thickBot="1">
      <c r="A61"/>
      <c r="B61" s="689"/>
      <c r="C61" s="206" t="s">
        <v>171</v>
      </c>
      <c r="D61" s="702" t="s">
        <v>322</v>
      </c>
      <c r="E61" s="703"/>
      <c r="F61" s="703"/>
      <c r="G61" s="703"/>
      <c r="H61" s="704"/>
      <c r="I61" s="426" t="s">
        <v>323</v>
      </c>
      <c r="J61" s="427"/>
      <c r="K61" s="428"/>
      <c r="L61" s="429"/>
      <c r="M61" s="430"/>
      <c r="N61" s="431" t="str">
        <f t="shared" si="2"/>
        <v/>
      </c>
      <c r="O61" s="432"/>
      <c r="P61" s="193"/>
      <c r="Q61" s="168"/>
      <c r="R61" s="207" t="s">
        <v>216</v>
      </c>
      <c r="S61" s="208">
        <f>$X$42/52.7</f>
        <v>51.043643263757112</v>
      </c>
      <c r="T61" s="209">
        <f>$X$42/8.66</f>
        <v>310.62355658198612</v>
      </c>
      <c r="U61" s="209" t="e">
        <f>SQRT($T$42*$Z$41/(1.1/3*L61)*1000)</f>
        <v>#DIV/0!</v>
      </c>
      <c r="V61" s="209" t="str">
        <f>IFERROR(ROUNDUP(IF(S61&gt;U61,(12*($X$42)^2/3000*U61^2)^(1/4),IF(T61&lt;U61,U61,$X$42/75.05+SQRT(($X$42/75.05)^2+U61^2/1.3))),0),"")</f>
        <v/>
      </c>
      <c r="W61" s="209">
        <f>ROUNDUP(SQRT(12)*$X$42/150,0)</f>
        <v>63</v>
      </c>
      <c r="X61" s="206"/>
      <c r="Y61" s="5"/>
      <c r="Z61" s="5"/>
      <c r="AA61" s="11"/>
      <c r="AB61" s="5"/>
      <c r="AC61" s="5"/>
      <c r="AD61" s="5"/>
      <c r="AE61"/>
      <c r="AG61"/>
      <c r="AH61"/>
    </row>
    <row r="62" spans="1:35" s="7" customFormat="1" ht="18" customHeight="1" thickBot="1">
      <c r="A62"/>
      <c r="B62" s="192"/>
      <c r="C62" s="193"/>
      <c r="D62" s="193"/>
      <c r="E62" s="193"/>
      <c r="F62" s="193"/>
      <c r="G62" s="193"/>
      <c r="H62" s="193"/>
      <c r="I62" s="193"/>
      <c r="J62" s="193"/>
      <c r="K62" s="193"/>
      <c r="L62" s="193"/>
      <c r="M62" s="193"/>
      <c r="N62" s="193"/>
      <c r="O62" s="193"/>
      <c r="P62" s="349"/>
      <c r="Q62" s="168"/>
      <c r="X62" s="11"/>
      <c r="Y62" s="11"/>
      <c r="Z62" s="5"/>
      <c r="AA62" s="11"/>
      <c r="AB62" s="5"/>
      <c r="AC62" s="5"/>
      <c r="AD62" s="5"/>
      <c r="AE62"/>
      <c r="AG62"/>
      <c r="AH62"/>
    </row>
    <row r="63" spans="1:35" s="7" customFormat="1" ht="18" customHeight="1" thickBot="1">
      <c r="A63"/>
      <c r="B63" s="452" t="s">
        <v>352</v>
      </c>
      <c r="C63" s="452"/>
      <c r="D63" s="452"/>
      <c r="E63" s="452"/>
      <c r="F63" s="452"/>
      <c r="G63" s="452"/>
      <c r="H63" s="452"/>
      <c r="I63" s="452"/>
      <c r="J63" s="452"/>
      <c r="K63" s="452"/>
      <c r="L63" s="452"/>
      <c r="M63" s="452"/>
      <c r="N63" s="452"/>
      <c r="O63" s="452"/>
      <c r="P63" s="4"/>
      <c r="Q63" s="7" t="b">
        <v>1</v>
      </c>
      <c r="R63" s="210"/>
      <c r="S63" s="211"/>
      <c r="T63" s="212" t="s">
        <v>38</v>
      </c>
      <c r="U63" s="213" t="s">
        <v>39</v>
      </c>
      <c r="V63" s="213" t="s">
        <v>223</v>
      </c>
      <c r="W63" s="214" t="s">
        <v>227</v>
      </c>
      <c r="X63" s="5"/>
      <c r="Y63" s="11"/>
      <c r="Z63" s="5"/>
      <c r="AA63" s="5"/>
      <c r="AB63" s="5"/>
      <c r="AC63" s="5"/>
      <c r="AD63" s="5"/>
      <c r="AE63"/>
    </row>
    <row r="64" spans="1:35" s="7" customFormat="1" ht="18" customHeight="1">
      <c r="A64"/>
      <c r="B64" s="92" t="s">
        <v>399</v>
      </c>
      <c r="D64"/>
      <c r="E64"/>
      <c r="F64"/>
      <c r="G64" s="153" t="s">
        <v>390</v>
      </c>
      <c r="H64"/>
      <c r="I64" s="4"/>
      <c r="J64" s="4"/>
      <c r="K64" s="4"/>
      <c r="L64" s="4"/>
      <c r="M64" s="4"/>
      <c r="N64" s="4"/>
      <c r="O64" s="4"/>
      <c r="P64" s="219"/>
      <c r="Q64" s="4"/>
      <c r="R64" s="395" t="s">
        <v>26</v>
      </c>
      <c r="S64" s="215" t="s">
        <v>228</v>
      </c>
      <c r="T64" s="216">
        <f>J70</f>
        <v>105</v>
      </c>
      <c r="U64" s="217">
        <f>K70</f>
        <v>120</v>
      </c>
      <c r="V64" s="217">
        <f>MIN(L70:M70)</f>
        <v>105</v>
      </c>
      <c r="W64" s="218">
        <f>MIN(N70:O70)</f>
        <v>0</v>
      </c>
      <c r="X64" s="5"/>
      <c r="Y64" s="11"/>
      <c r="Z64" s="11"/>
      <c r="AA64" s="5"/>
      <c r="AB64"/>
      <c r="AC64" s="5"/>
      <c r="AD64" s="5"/>
      <c r="AE64"/>
      <c r="AF64"/>
      <c r="AG64"/>
    </row>
    <row r="65" spans="1:34" s="7" customFormat="1" ht="18" customHeight="1">
      <c r="B65" t="s">
        <v>424</v>
      </c>
      <c r="C65" s="150"/>
      <c r="E65"/>
      <c r="F65"/>
      <c r="G65"/>
      <c r="H65"/>
      <c r="I65"/>
      <c r="J65"/>
      <c r="K65"/>
      <c r="L65"/>
      <c r="M65"/>
      <c r="N65"/>
      <c r="O65" s="219"/>
      <c r="P65" s="219"/>
      <c r="Q65" s="4"/>
      <c r="R65" s="396"/>
      <c r="S65" s="220" t="s">
        <v>225</v>
      </c>
      <c r="T65" s="221">
        <f>3.46*($F$12*1000-105)/T64</f>
        <v>89.136190476190464</v>
      </c>
      <c r="U65" s="222">
        <f>3.46*($F$12*1000-105)/U64</f>
        <v>77.994166666666658</v>
      </c>
      <c r="V65" s="222">
        <f>3.46*($F$12*1000-105)/V64</f>
        <v>89.136190476190464</v>
      </c>
      <c r="W65" s="223" t="e">
        <f>3.46*($F$12*1000-105)/W64</f>
        <v>#DIV/0!</v>
      </c>
      <c r="X65" s="5"/>
      <c r="Y65" s="11"/>
      <c r="Z65" s="11"/>
      <c r="AA65" s="5"/>
      <c r="AB65" s="5"/>
      <c r="AC65" s="5"/>
      <c r="AD65" s="5"/>
      <c r="AE65"/>
      <c r="AF65"/>
    </row>
    <row r="66" spans="1:34" ht="18" customHeight="1" thickBot="1">
      <c r="A66" s="7"/>
      <c r="B66" s="224" t="s">
        <v>301</v>
      </c>
      <c r="C66" s="150"/>
      <c r="D66" s="2"/>
      <c r="F66"/>
      <c r="G66"/>
      <c r="N66"/>
      <c r="O66" s="219"/>
      <c r="P66" s="219"/>
      <c r="Q66" s="4"/>
      <c r="R66" s="396"/>
      <c r="S66" s="225" t="s">
        <v>226</v>
      </c>
      <c r="T66" s="226">
        <f>IF(T65&lt;=30,1,IF(T65&gt;100,3000/(T65)^2,1.3-0.01*T65))</f>
        <v>0.40863809523809536</v>
      </c>
      <c r="U66" s="227">
        <f t="shared" ref="U66" si="3">IF(U65&lt;=30,1,IF(U65&gt;100,3000/(U65)^2,1.3-0.01*U65))</f>
        <v>0.5200583333333334</v>
      </c>
      <c r="V66" s="227">
        <f>IF(V65&lt;=30,1,IF(V65&gt;100,3000/(V65)^2,1.3-0.01*V65))</f>
        <v>0.40863809523809536</v>
      </c>
      <c r="W66" s="228" t="e">
        <f>IF(W65&lt;=30,1,IF(W65&gt;100,3000/(W65)^2,1.3-0.01*W65))</f>
        <v>#DIV/0!</v>
      </c>
      <c r="Z66" s="11"/>
      <c r="AA66" s="5"/>
      <c r="AB66" s="5"/>
      <c r="AC66" s="5"/>
      <c r="AD66" s="5"/>
      <c r="AG66" s="7"/>
      <c r="AH66" s="7"/>
    </row>
    <row r="67" spans="1:34" ht="18" customHeight="1" thickBot="1">
      <c r="B67" s="453" t="s">
        <v>277</v>
      </c>
      <c r="C67" s="454"/>
      <c r="D67" s="459" t="s">
        <v>219</v>
      </c>
      <c r="E67" s="460"/>
      <c r="F67" s="460"/>
      <c r="G67" s="460"/>
      <c r="H67" s="461"/>
      <c r="I67" s="459" t="s">
        <v>386</v>
      </c>
      <c r="J67" s="460"/>
      <c r="K67" s="460"/>
      <c r="L67" s="460"/>
      <c r="M67" s="460"/>
      <c r="N67" s="460"/>
      <c r="O67" s="461"/>
      <c r="P67" s="76"/>
      <c r="Q67" s="4" t="b">
        <v>1</v>
      </c>
      <c r="R67" s="397"/>
      <c r="S67" s="229" t="s">
        <v>297</v>
      </c>
      <c r="T67" s="230" t="str">
        <f>IF(($F$12-0.105)*1000/J70&lt;=43.3,"","有効細長比150以上")</f>
        <v/>
      </c>
      <c r="U67" s="231" t="str">
        <f>IF(($F$12-0.105)*1000/K70&lt;=43.3,"","有効細長比150以上")</f>
        <v/>
      </c>
      <c r="V67" s="231" t="str">
        <f>IF(($F$12-0.105)*1000/MIN(L70:M70)&lt;=43.3,"","有効細長比150以上")</f>
        <v/>
      </c>
      <c r="W67" s="232" t="e">
        <f>IF(($F$12-0.105)*1000/MIN(N70:O70)&lt;=43.3,"","有効細長比150以上")</f>
        <v>#DIV/0!</v>
      </c>
      <c r="Y67" s="11"/>
      <c r="Z67" s="11"/>
      <c r="AA67" s="5"/>
      <c r="AB67" s="5"/>
      <c r="AC67" s="5"/>
      <c r="AE67" s="7"/>
      <c r="AG67" s="7"/>
      <c r="AH67" s="7"/>
    </row>
    <row r="68" spans="1:34" ht="18" customHeight="1">
      <c r="B68" s="455"/>
      <c r="C68" s="456"/>
      <c r="D68" s="462" t="s">
        <v>244</v>
      </c>
      <c r="E68" s="463"/>
      <c r="F68" s="468" t="s">
        <v>214</v>
      </c>
      <c r="G68" s="471" t="s">
        <v>56</v>
      </c>
      <c r="H68" s="472"/>
      <c r="I68" s="477" t="s">
        <v>422</v>
      </c>
      <c r="J68" s="238" t="s">
        <v>38</v>
      </c>
      <c r="K68" s="238" t="s">
        <v>39</v>
      </c>
      <c r="L68" s="480" t="s">
        <v>223</v>
      </c>
      <c r="M68" s="481"/>
      <c r="N68" s="480" t="s">
        <v>224</v>
      </c>
      <c r="O68" s="482"/>
      <c r="P68" s="160"/>
      <c r="Q68" s="4"/>
      <c r="R68" s="395" t="s">
        <v>25</v>
      </c>
      <c r="S68" s="233" t="s">
        <v>228</v>
      </c>
      <c r="T68" s="234">
        <f>J70</f>
        <v>105</v>
      </c>
      <c r="U68" s="235">
        <f>K70</f>
        <v>120</v>
      </c>
      <c r="V68" s="235">
        <f>MIN(L70:M70)</f>
        <v>105</v>
      </c>
      <c r="W68" s="236">
        <f>MIN(N70:O70)</f>
        <v>0</v>
      </c>
      <c r="X68" s="237"/>
      <c r="Y68" s="11"/>
      <c r="Z68" s="11"/>
      <c r="AA68" s="5"/>
      <c r="AE68" s="7"/>
      <c r="AG68" s="7"/>
      <c r="AH68" s="7"/>
    </row>
    <row r="69" spans="1:34" ht="33" customHeight="1">
      <c r="B69" s="455"/>
      <c r="C69" s="456"/>
      <c r="D69" s="464"/>
      <c r="E69" s="465"/>
      <c r="F69" s="469"/>
      <c r="G69" s="473"/>
      <c r="H69" s="474"/>
      <c r="I69" s="478"/>
      <c r="J69" s="239" t="s">
        <v>278</v>
      </c>
      <c r="K69" s="239" t="s">
        <v>278</v>
      </c>
      <c r="L69" s="240" t="s">
        <v>221</v>
      </c>
      <c r="M69" s="240" t="s">
        <v>222</v>
      </c>
      <c r="N69" s="240" t="s">
        <v>221</v>
      </c>
      <c r="O69" s="241" t="s">
        <v>222</v>
      </c>
      <c r="P69" s="361"/>
      <c r="Q69" s="4"/>
      <c r="R69" s="396"/>
      <c r="S69" s="220" t="s">
        <v>225</v>
      </c>
      <c r="T69" s="221">
        <f>3.46*($F$13*1000-120)/T68</f>
        <v>88.641904761904755</v>
      </c>
      <c r="U69" s="222">
        <f>3.46*($F$13*1000-120)/U68</f>
        <v>77.561666666666667</v>
      </c>
      <c r="V69" s="222">
        <f>3.46*($F$13*1000-120)/V68</f>
        <v>88.641904761904755</v>
      </c>
      <c r="W69" s="223" t="e">
        <f>3.46*($F$13*1000-120)/W68</f>
        <v>#DIV/0!</v>
      </c>
      <c r="X69" s="237"/>
      <c r="Y69" s="237"/>
      <c r="AA69" s="5"/>
      <c r="AB69" s="5"/>
      <c r="AC69" s="7"/>
      <c r="AD69" s="7"/>
      <c r="AE69" s="5"/>
    </row>
    <row r="70" spans="1:34" ht="36" customHeight="1" thickBot="1">
      <c r="B70" s="457"/>
      <c r="C70" s="458"/>
      <c r="D70" s="466"/>
      <c r="E70" s="467"/>
      <c r="F70" s="470"/>
      <c r="G70" s="475"/>
      <c r="H70" s="476"/>
      <c r="I70" s="479"/>
      <c r="J70" s="242">
        <v>105</v>
      </c>
      <c r="K70" s="242">
        <v>120</v>
      </c>
      <c r="L70" s="362">
        <v>210</v>
      </c>
      <c r="M70" s="362">
        <v>105</v>
      </c>
      <c r="N70" s="362"/>
      <c r="O70" s="363"/>
      <c r="P70" s="160"/>
      <c r="Q70" s="76"/>
      <c r="R70" s="396"/>
      <c r="S70" s="225" t="s">
        <v>226</v>
      </c>
      <c r="T70" s="226">
        <f>IF(T69&lt;=30,1,IF(T69&gt;100,3000/(T69)^2,1.3-0.01*T69))</f>
        <v>0.41358095238095249</v>
      </c>
      <c r="U70" s="227">
        <f t="shared" ref="U70:V70" si="4">IF(U69&lt;=30,1,IF(U69&gt;100,3000/(U69)^2,1.3-0.01*U69))</f>
        <v>0.52438333333333331</v>
      </c>
      <c r="V70" s="227">
        <f t="shared" si="4"/>
        <v>0.41358095238095249</v>
      </c>
      <c r="W70" s="228" t="e">
        <f>IF(W69&lt;=30,1,IF(W69&gt;100,3000/(W69)^2,1.3-0.01*W69))</f>
        <v>#DIV/0!</v>
      </c>
      <c r="X70" s="237"/>
      <c r="Y70" s="237"/>
      <c r="AA70" s="5"/>
      <c r="AB70" s="5"/>
      <c r="AC70" s="7"/>
      <c r="AD70" s="7"/>
      <c r="AE70" s="7"/>
    </row>
    <row r="71" spans="1:34" ht="30" customHeight="1" thickBot="1">
      <c r="B71" s="400" t="s">
        <v>287</v>
      </c>
      <c r="C71" s="243" t="s">
        <v>161</v>
      </c>
      <c r="D71" s="403" t="s">
        <v>316</v>
      </c>
      <c r="E71" s="404"/>
      <c r="F71" s="364" t="s">
        <v>80</v>
      </c>
      <c r="G71" s="413" t="s">
        <v>58</v>
      </c>
      <c r="H71" s="414"/>
      <c r="I71" s="244">
        <f>IF($Q$63=TRUE,IFERROR(VLOOKUP(D71&amp;F71&amp;G71,柱の圧縮基準強度!$A$4:$F$187,6,0),"該当なし"),"")</f>
        <v>20.399999999999999</v>
      </c>
      <c r="J71" s="365">
        <f>IF($Q$63=TRUE,T73,"")</f>
        <v>20.7</v>
      </c>
      <c r="K71" s="365">
        <f>IF($Q$63=TRUE,U73,"")</f>
        <v>34.5</v>
      </c>
      <c r="L71" s="407">
        <f>IFERROR(IF($Q$63=TRUE,V73,""),"")</f>
        <v>41.5</v>
      </c>
      <c r="M71" s="408"/>
      <c r="N71" s="407" t="str">
        <f>IFERROR(IF($Q$63=TRUE,W73,""),"")</f>
        <v/>
      </c>
      <c r="O71" s="409"/>
      <c r="P71" s="366"/>
      <c r="Q71" s="160"/>
      <c r="R71" s="397"/>
      <c r="S71" s="229" t="s">
        <v>297</v>
      </c>
      <c r="T71" s="230" t="str">
        <f>IF(($F$13-0.12)*1000/J70&lt;=43.3,"","有効細長比150以上")</f>
        <v/>
      </c>
      <c r="U71" s="231" t="str">
        <f>IF(($F$13-0.12)*1000/K70&lt;=43.3,"","有効細長比150以上")</f>
        <v/>
      </c>
      <c r="V71" s="231" t="str">
        <f>IF(($F$13-0.12)*1000/MIN(L70:M70)&lt;=43.3,"","有効細長比150以上")</f>
        <v/>
      </c>
      <c r="W71" s="232" t="e">
        <f>IF(($F$13-0.12)*1000/MIN(N70:O70)&lt;=43.3,"","有効細長比150以上")</f>
        <v>#DIV/0!</v>
      </c>
      <c r="X71" s="237"/>
      <c r="Y71" s="237"/>
      <c r="AA71" s="7"/>
      <c r="AB71" s="5"/>
      <c r="AC71" s="5"/>
      <c r="AD71" s="5"/>
      <c r="AE71" s="7"/>
    </row>
    <row r="72" spans="1:34" ht="30" customHeight="1" thickBot="1">
      <c r="B72" s="401"/>
      <c r="C72" s="84" t="s">
        <v>162</v>
      </c>
      <c r="D72" s="415"/>
      <c r="E72" s="416"/>
      <c r="F72" s="367"/>
      <c r="G72" s="417"/>
      <c r="H72" s="418"/>
      <c r="I72" s="247" t="str">
        <f>IF($Q$63=TRUE,IFERROR(VLOOKUP(D72&amp;F72&amp;G72,柱の圧縮基準強度!$A$4:$F$187,6,0),"該当なし"),"")</f>
        <v>該当なし</v>
      </c>
      <c r="J72" s="368" t="str">
        <f t="shared" ref="J72:K82" si="5">IF($Q$63=TRUE,T74,"")</f>
        <v/>
      </c>
      <c r="K72" s="368" t="str">
        <f t="shared" si="5"/>
        <v/>
      </c>
      <c r="L72" s="449" t="str">
        <f t="shared" ref="L72:L82" si="6">IFERROR(IF($Q$63=TRUE,V74,""),"")</f>
        <v/>
      </c>
      <c r="M72" s="450"/>
      <c r="N72" s="449" t="str">
        <f>IFERROR(IF($Q$63=TRUE,W74,""),"")</f>
        <v/>
      </c>
      <c r="O72" s="451"/>
      <c r="P72" s="366"/>
      <c r="Q72" s="150"/>
      <c r="R72" s="245"/>
      <c r="S72" s="398" t="s">
        <v>312</v>
      </c>
      <c r="T72" s="212" t="s">
        <v>38</v>
      </c>
      <c r="U72" s="213" t="s">
        <v>39</v>
      </c>
      <c r="V72" s="213" t="s">
        <v>223</v>
      </c>
      <c r="W72" s="214" t="s">
        <v>227</v>
      </c>
      <c r="X72" s="246" t="s">
        <v>289</v>
      </c>
      <c r="Y72" s="237"/>
      <c r="AA72" s="11"/>
      <c r="AB72" s="5"/>
      <c r="AC72" s="7"/>
      <c r="AD72" s="7"/>
    </row>
    <row r="73" spans="1:34" ht="30" customHeight="1" thickBot="1">
      <c r="B73" s="402"/>
      <c r="C73" s="252" t="s">
        <v>170</v>
      </c>
      <c r="D73" s="410" t="s">
        <v>322</v>
      </c>
      <c r="E73" s="411"/>
      <c r="F73" s="412"/>
      <c r="G73" s="438" t="s">
        <v>324</v>
      </c>
      <c r="H73" s="439"/>
      <c r="I73" s="369"/>
      <c r="J73" s="370">
        <f>IF($Q$63=TRUE,T75,"")</f>
        <v>0</v>
      </c>
      <c r="K73" s="370">
        <f>IF($Q$63=TRUE,U75,"")</f>
        <v>0</v>
      </c>
      <c r="L73" s="435">
        <f t="shared" si="6"/>
        <v>0</v>
      </c>
      <c r="M73" s="436"/>
      <c r="N73" s="435" t="str">
        <f>IFERROR(IF($Q$63=TRUE,W75,""),"")</f>
        <v/>
      </c>
      <c r="O73" s="437"/>
      <c r="P73" s="366"/>
      <c r="Q73" s="160"/>
      <c r="R73" s="248"/>
      <c r="S73" s="399"/>
      <c r="T73" s="249">
        <f>IF($T67="",IFERROR(ROUNDDOWN(1.1/3*$T66*$I71*J70*J70/$T$41/1000,1),""),$T67)</f>
        <v>20.7</v>
      </c>
      <c r="U73" s="250">
        <f>IF($U67="",IFERROR(ROUNDDOWN(1.1/3*$U66*$I71*K70*K70/$T$41/1000,1),""),$U67)</f>
        <v>34.5</v>
      </c>
      <c r="V73" s="251">
        <f>IF(V67="",IFERROR(ROUNDDOWN(1.1/3*V66*$I71*L70*M70/$T$41/1000,1),""),V67)</f>
        <v>41.5</v>
      </c>
      <c r="W73" s="251" t="e">
        <f>IF(W67="",IFERROR(ROUNDDOWN(1.1/3*W66*$I71*N70*O70/$T$41/1000,1),""),W67)</f>
        <v>#DIV/0!</v>
      </c>
      <c r="X73" s="194" t="str">
        <f>IF(D71="JAS機械等級区分構造用製材","機械",IF(D71="JAS目視等級区分構造用製材", "目視",IF(D71="無等級材","無等級",IF(D71="JAS同一等級構成集成材","集成材","LVL"))))</f>
        <v>目視</v>
      </c>
      <c r="Y73" s="237"/>
      <c r="AA73" s="5"/>
      <c r="AB73" s="7"/>
      <c r="AC73" s="7"/>
      <c r="AD73" s="7"/>
    </row>
    <row r="74" spans="1:34" ht="30" customHeight="1">
      <c r="B74" s="400" t="s">
        <v>285</v>
      </c>
      <c r="C74" s="258" t="s">
        <v>161</v>
      </c>
      <c r="D74" s="403" t="s">
        <v>316</v>
      </c>
      <c r="E74" s="404"/>
      <c r="F74" s="371" t="s">
        <v>80</v>
      </c>
      <c r="G74" s="405" t="s">
        <v>58</v>
      </c>
      <c r="H74" s="406"/>
      <c r="I74" s="259">
        <f>IF($Q$63=TRUE,IFERROR(VLOOKUP(D74&amp;F74&amp;G74,柱の圧縮基準強度!$A$4:$F$187,6,0),"該当なし"),"")</f>
        <v>20.399999999999999</v>
      </c>
      <c r="J74" s="372">
        <f t="shared" si="5"/>
        <v>28</v>
      </c>
      <c r="K74" s="372">
        <f t="shared" si="5"/>
        <v>46.6</v>
      </c>
      <c r="L74" s="407">
        <f t="shared" si="6"/>
        <v>56.1</v>
      </c>
      <c r="M74" s="408"/>
      <c r="N74" s="407" t="str">
        <f t="shared" ref="N74:N82" si="7">IFERROR(IF($Q$63=TRUE,W76,""),"")</f>
        <v/>
      </c>
      <c r="O74" s="409"/>
      <c r="P74" s="366"/>
      <c r="Q74" s="115"/>
      <c r="R74" s="248"/>
      <c r="S74" s="248"/>
      <c r="T74" s="253" t="str">
        <f>IF(T67="",IFERROR(ROUNDDOWN(1.1/3*T66*$I72*J70*J70/$T$41/1000,1),""),T67)</f>
        <v/>
      </c>
      <c r="U74" s="254" t="str">
        <f>IF(U67="",IFERROR(ROUNDDOWN(1.1/3*U66*$I72*K70*K70/$T$41/1000,1),""),U67)</f>
        <v/>
      </c>
      <c r="V74" s="255" t="str">
        <f>IF(V67="",IFERROR(ROUNDDOWN(1.1/3*V66*$I72*L70*M70/$T$41/1000,1),""),V67)</f>
        <v/>
      </c>
      <c r="W74" s="256" t="e">
        <f>IF(W67="",IFERROR(ROUNDDOWN(1.1/3*W66*$I72*N70*O70/$T$41/1000,1),""),W67)</f>
        <v>#DIV/0!</v>
      </c>
      <c r="X74" s="257" t="str">
        <f>IF(D72="JAS機械等級区分構造用製材","機械",IF(D72="JAS目視等級区分構造用製材", "目視",IF(D72="無等級材","無等級",IF(D72="JAS同一等級構成集成材","集成材","LVL"))))</f>
        <v>LVL</v>
      </c>
      <c r="Y74" s="237"/>
      <c r="AA74" s="5"/>
      <c r="AB74" s="7"/>
      <c r="AC74" s="7"/>
      <c r="AD74" s="7"/>
    </row>
    <row r="75" spans="1:34" ht="30" customHeight="1">
      <c r="B75" s="401"/>
      <c r="C75" s="84" t="s">
        <v>162</v>
      </c>
      <c r="D75" s="415"/>
      <c r="E75" s="416"/>
      <c r="F75" s="367"/>
      <c r="G75" s="417"/>
      <c r="H75" s="418"/>
      <c r="I75" s="247" t="str">
        <f>IF($Q$63=TRUE,IFERROR(VLOOKUP(D75&amp;F75&amp;G75,柱の圧縮基準強度!$A$4:$F$187,6,0),"該当なし"),"")</f>
        <v>該当なし</v>
      </c>
      <c r="J75" s="368" t="str">
        <f t="shared" si="5"/>
        <v/>
      </c>
      <c r="K75" s="368" t="str">
        <f t="shared" si="5"/>
        <v/>
      </c>
      <c r="L75" s="449" t="str">
        <f t="shared" si="6"/>
        <v/>
      </c>
      <c r="M75" s="450"/>
      <c r="N75" s="449" t="str">
        <f t="shared" si="7"/>
        <v/>
      </c>
      <c r="O75" s="451"/>
      <c r="P75" s="366"/>
      <c r="Q75" s="115"/>
      <c r="R75" s="248"/>
      <c r="S75" s="248"/>
      <c r="T75" s="253">
        <f>IF(T67="",IFERROR(ROUNDDOWN(1.1/3*T66*$I73*J70*J70/$T$41/1000,1),""),T67)</f>
        <v>0</v>
      </c>
      <c r="U75" s="254">
        <f>IF(U67="",IFERROR(ROUNDDOWN(1.1/3*U66*$I73*K70*K70/$T$41/1000,1),""),U67)</f>
        <v>0</v>
      </c>
      <c r="V75" s="255">
        <f>IF(V67="",IFERROR(ROUNDDOWN(1.1/3*V66*$I73*L70*M70/$T$41/1000,1),""),V67)</f>
        <v>0</v>
      </c>
      <c r="W75" s="256" t="e">
        <f>IF(W67="",IFERROR(ROUNDDOWN(1.1/3*W66*$I73*N70*O70/$T$41/1000,1),""),W67)</f>
        <v>#DIV/0!</v>
      </c>
      <c r="X75" s="257"/>
      <c r="Y75" s="237"/>
      <c r="AA75" s="5"/>
      <c r="AB75" s="5"/>
    </row>
    <row r="76" spans="1:34" ht="30" customHeight="1" thickBot="1">
      <c r="B76" s="402"/>
      <c r="C76" s="252" t="s">
        <v>170</v>
      </c>
      <c r="D76" s="410" t="s">
        <v>322</v>
      </c>
      <c r="E76" s="411"/>
      <c r="F76" s="412"/>
      <c r="G76" s="438" t="s">
        <v>324</v>
      </c>
      <c r="H76" s="439"/>
      <c r="I76" s="369"/>
      <c r="J76" s="373">
        <f>IF($Q$63=TRUE,T78,"")</f>
        <v>0</v>
      </c>
      <c r="K76" s="373">
        <f t="shared" si="5"/>
        <v>0</v>
      </c>
      <c r="L76" s="435">
        <f t="shared" si="6"/>
        <v>0</v>
      </c>
      <c r="M76" s="436"/>
      <c r="N76" s="435" t="str">
        <f t="shared" si="7"/>
        <v/>
      </c>
      <c r="O76" s="437"/>
      <c r="P76" s="366"/>
      <c r="Q76" s="115"/>
      <c r="R76" s="14"/>
      <c r="S76" s="17"/>
      <c r="T76" s="260">
        <f>IF(T67="",IFERROR(ROUNDDOWN(1.1/3*T66*$I74*J70*J70/$U$41/1000,1),""),T67)</f>
        <v>28</v>
      </c>
      <c r="U76" s="255">
        <f>IF(U67="",IFERROR(ROUNDDOWN(1.1/3*U66*$I74*K70*K70/$U$41/1000,1),""),U67)</f>
        <v>46.6</v>
      </c>
      <c r="V76" s="255">
        <f>IF(V67="",IFERROR(ROUNDDOWN(1.1/3*V66*$I74*L70*M70/$U$41/1000,1),""),V67)</f>
        <v>56.1</v>
      </c>
      <c r="W76" s="256" t="e">
        <f>IF(W67="",IFERROR(ROUNDDOWN(1.1/3*W66*$I74*N70*O70/$U$41/1000,1),""),W67)</f>
        <v>#DIV/0!</v>
      </c>
      <c r="X76" s="257" t="str">
        <f>IF(D74="JAS機械等級区分構造用製材","機械",IF(D74="JAS目視等級区分構造用製材", "目視",IF(D74="無等級材","無等級",IF(D74="JAS同一等級構成集成材","集成材","LVL"))))</f>
        <v>目視</v>
      </c>
      <c r="Y76" s="237"/>
      <c r="AA76" s="5"/>
      <c r="AB76" s="5"/>
    </row>
    <row r="77" spans="1:34" ht="30" customHeight="1" thickBot="1">
      <c r="B77" s="400" t="s">
        <v>288</v>
      </c>
      <c r="C77" s="243" t="s">
        <v>161</v>
      </c>
      <c r="D77" s="403" t="s">
        <v>316</v>
      </c>
      <c r="E77" s="404"/>
      <c r="F77" s="364" t="s">
        <v>80</v>
      </c>
      <c r="G77" s="405" t="s">
        <v>58</v>
      </c>
      <c r="H77" s="406"/>
      <c r="I77" s="244">
        <f>IF($Q$63=TRUE,IFERROR(VLOOKUP(D77&amp;F77&amp;G77,柱の圧縮基準強度!$A$4:$F$187,6,0),"該当なし"),"")</f>
        <v>20.399999999999999</v>
      </c>
      <c r="J77" s="365">
        <f>IF($Q$63=TRUE,T79,"")</f>
        <v>7.4</v>
      </c>
      <c r="K77" s="365">
        <f t="shared" si="5"/>
        <v>12.3</v>
      </c>
      <c r="L77" s="407">
        <f t="shared" si="6"/>
        <v>14.9</v>
      </c>
      <c r="M77" s="408"/>
      <c r="N77" s="407" t="str">
        <f t="shared" si="7"/>
        <v/>
      </c>
      <c r="O77" s="409"/>
      <c r="P77" s="366"/>
      <c r="Q77" s="115"/>
      <c r="R77" s="17"/>
      <c r="S77" s="17"/>
      <c r="T77" s="261" t="str">
        <f>IF(T67="",IFERROR(ROUNDDOWN(1.1/3*T66*$I75*J70*J70/$U$41/1000,1),""),T67)</f>
        <v/>
      </c>
      <c r="U77" s="262" t="str">
        <f>IF(U67="",IFERROR(ROUNDDOWN(1.1/3*U66*$I75*K70*K70/$U$41/1000,1),""),U67)</f>
        <v/>
      </c>
      <c r="V77" s="262" t="str">
        <f>IF(V67="",IFERROR(ROUNDDOWN(1.1/3*V66*$I75*L70*M70/$U$41/1000,1),""),V67)</f>
        <v/>
      </c>
      <c r="W77" s="262" t="e">
        <f>IF(W67="",IFERROR(ROUNDDOWN(1.1/3*W66*$I75*N70*O70/$U$41/1000,1),""),W67)</f>
        <v>#DIV/0!</v>
      </c>
      <c r="X77" s="183" t="str">
        <f>IF(D75="JAS機械等級区分構造用製材","機械",IF(D75="JAS目視等級区分構造用製材", "目視",IF(D75="無等級材","無等級",IF(D75="JAS同一等級構成集成材","集成材","LVL"))))</f>
        <v>LVL</v>
      </c>
      <c r="Y77" s="237"/>
      <c r="AA77" s="5"/>
      <c r="AB77" s="5"/>
    </row>
    <row r="78" spans="1:34" ht="30" customHeight="1" thickBot="1">
      <c r="B78" s="401"/>
      <c r="C78" s="84" t="s">
        <v>162</v>
      </c>
      <c r="D78" s="415" t="s">
        <v>249</v>
      </c>
      <c r="E78" s="416"/>
      <c r="F78" s="367"/>
      <c r="G78" s="417" t="s">
        <v>459</v>
      </c>
      <c r="H78" s="418"/>
      <c r="I78" s="247" t="str">
        <f>IF($Q$63=TRUE,IFERROR(VLOOKUP(D78&amp;F78&amp;G78,柱の圧縮基準強度!$A$4:$F$187,6,0),"該当なし"),"")</f>
        <v>該当なし</v>
      </c>
      <c r="J78" s="368" t="str">
        <f t="shared" si="5"/>
        <v/>
      </c>
      <c r="K78" s="368" t="str">
        <f t="shared" si="5"/>
        <v/>
      </c>
      <c r="L78" s="449" t="str">
        <f t="shared" si="6"/>
        <v/>
      </c>
      <c r="M78" s="450"/>
      <c r="N78" s="449" t="str">
        <f t="shared" si="7"/>
        <v/>
      </c>
      <c r="O78" s="451"/>
      <c r="P78" s="366"/>
      <c r="Q78" s="115"/>
      <c r="R78" s="17"/>
      <c r="S78" s="17"/>
      <c r="T78" s="261">
        <f>IF(T67="",IFERROR(ROUNDDOWN(1.1/3*T66*$I76*J70*J70/$U$41/1000,1),""),T67)</f>
        <v>0</v>
      </c>
      <c r="U78" s="262">
        <f>IF(U67="",IFERROR(ROUNDDOWN(1.1/3*U66*$I76*K70*K70/$U$41/1000,1),""),U67)</f>
        <v>0</v>
      </c>
      <c r="V78" s="262">
        <f>IF(V67="",IFERROR(ROUNDDOWN(1.1/3*V66*$I76*L70*M70/$U$41/1000,1),""),V67)</f>
        <v>0</v>
      </c>
      <c r="W78" s="262" t="e">
        <f>IF(W67="",IFERROR(ROUNDDOWN(1.1/3*W66*$I76*N70*O70/$U$41/1000,1),""),W67)</f>
        <v>#DIV/0!</v>
      </c>
      <c r="X78" s="167"/>
      <c r="Y78" s="237"/>
      <c r="AA78" s="5"/>
      <c r="AB78" s="5"/>
    </row>
    <row r="79" spans="1:34" ht="30" customHeight="1" thickBot="1">
      <c r="B79" s="402"/>
      <c r="C79" s="252" t="s">
        <v>170</v>
      </c>
      <c r="D79" s="410" t="s">
        <v>322</v>
      </c>
      <c r="E79" s="411"/>
      <c r="F79" s="412"/>
      <c r="G79" s="438" t="s">
        <v>324</v>
      </c>
      <c r="H79" s="439"/>
      <c r="I79" s="369"/>
      <c r="J79" s="374">
        <f t="shared" si="5"/>
        <v>0</v>
      </c>
      <c r="K79" s="374">
        <f>IF($Q$63=TRUE,U81,"")</f>
        <v>0</v>
      </c>
      <c r="L79" s="435">
        <f t="shared" si="6"/>
        <v>0</v>
      </c>
      <c r="M79" s="436"/>
      <c r="N79" s="435" t="str">
        <f t="shared" si="7"/>
        <v/>
      </c>
      <c r="O79" s="437"/>
      <c r="P79" s="366"/>
      <c r="Q79" s="115"/>
      <c r="T79" s="263">
        <f>IF(T71="",IFERROR(ROUNDDOWN(1.1/3*T70*$I77*J70*J70/$T$42/1000,1),""),T71)</f>
        <v>7.4</v>
      </c>
      <c r="U79" s="264">
        <f>IF(U71="",IFERROR(ROUNDDOWN(1.1/3*U70*$I77*K70*K70/$T$42/1000,1),""),U71)</f>
        <v>12.3</v>
      </c>
      <c r="V79" s="264">
        <f>IF(V71="",IFERROR(ROUNDDOWN(1.1/3*V70*$I77*L70*M70/$T$42/1000,1),""),V71)</f>
        <v>14.9</v>
      </c>
      <c r="W79" s="264" t="e">
        <f>IF(W71="",IFERROR(ROUNDDOWN(1.1/3*W70*$I77*N70*O70/$T$42/1000,1),""),W71)</f>
        <v>#DIV/0!</v>
      </c>
      <c r="X79" s="176" t="str">
        <f>IF(D77="JAS機械等級区分構造用製材","機械",IF(D77="JAS目視等級区分構造用製材", "目視",IF(D77="無等級材","無等級",IF(D77="JAS同一等級構成集成材","集成材","LVL"))))</f>
        <v>目視</v>
      </c>
      <c r="Y79" s="237"/>
      <c r="AA79" s="5"/>
      <c r="AB79" s="5"/>
    </row>
    <row r="80" spans="1:34" ht="30" customHeight="1">
      <c r="B80" s="400" t="s">
        <v>286</v>
      </c>
      <c r="C80" s="243" t="s">
        <v>161</v>
      </c>
      <c r="D80" s="403" t="s">
        <v>316</v>
      </c>
      <c r="E80" s="404"/>
      <c r="F80" s="364" t="s">
        <v>80</v>
      </c>
      <c r="G80" s="405" t="s">
        <v>58</v>
      </c>
      <c r="H80" s="406"/>
      <c r="I80" s="244">
        <f>IF($Q$63=TRUE,IFERROR(VLOOKUP(D80&amp;F80&amp;G80,柱の圧縮基準強度!$A$4:$F$187,6,0),"該当なし"),"")</f>
        <v>20.399999999999999</v>
      </c>
      <c r="J80" s="365">
        <f t="shared" si="5"/>
        <v>10.3</v>
      </c>
      <c r="K80" s="365">
        <f t="shared" si="5"/>
        <v>17</v>
      </c>
      <c r="L80" s="407">
        <f t="shared" si="6"/>
        <v>20.6</v>
      </c>
      <c r="M80" s="408"/>
      <c r="N80" s="407" t="str">
        <f t="shared" si="7"/>
        <v/>
      </c>
      <c r="O80" s="409"/>
      <c r="P80" s="366"/>
      <c r="Q80" s="115"/>
      <c r="T80" s="260" t="str">
        <f>IF(T71="",IFERROR(ROUNDDOWN(1.1/3*T70*$I78*J70*J70/$T$42/1000,1),""),T71)</f>
        <v/>
      </c>
      <c r="U80" s="255" t="str">
        <f>IF(U71="",IFERROR(ROUNDDOWN(1.1/3*U70*$I78*K70*K70/$T$42/1000,1),""),U71)</f>
        <v/>
      </c>
      <c r="V80" s="256" t="str">
        <f>IF(V71="",IFERROR(ROUNDDOWN(1.1/3*V70*$I78*L70*M70/$T$42/1000,1),""),V71)</f>
        <v/>
      </c>
      <c r="W80" s="256" t="e">
        <f>IF(W71="",IFERROR(ROUNDDOWN(1.1/3*W70*$I78*N70*O70/$T$42/1000,1),""),W71)</f>
        <v>#DIV/0!</v>
      </c>
      <c r="X80" s="257" t="str">
        <f>IF(D78="JAS機械等級区分構造用製材","機械",IF(D78="JAS目視等級区分構造用製材", "目視",IF(D78="無等級材","無等級",IF(D78="JAS同一等級構成集成材","集成材","LVL"))))</f>
        <v>集成材</v>
      </c>
      <c r="Y80" s="237"/>
      <c r="AA80" s="5"/>
      <c r="AB80" s="5"/>
    </row>
    <row r="81" spans="2:28" ht="30" customHeight="1">
      <c r="B81" s="401"/>
      <c r="C81" s="84" t="s">
        <v>162</v>
      </c>
      <c r="D81" s="415" t="s">
        <v>249</v>
      </c>
      <c r="E81" s="416"/>
      <c r="F81" s="367" t="s">
        <v>317</v>
      </c>
      <c r="G81" s="417" t="s">
        <v>459</v>
      </c>
      <c r="H81" s="418"/>
      <c r="I81" s="247">
        <f>IF($Q$63=TRUE,IFERROR(VLOOKUP(D81&amp;F81&amp;G81,柱の圧縮基準強度!$A$4:$F$187,6,0),"該当なし"),"")</f>
        <v>26</v>
      </c>
      <c r="J81" s="368">
        <f t="shared" si="5"/>
        <v>13.1</v>
      </c>
      <c r="K81" s="368">
        <f t="shared" si="5"/>
        <v>21.7</v>
      </c>
      <c r="L81" s="449">
        <f t="shared" si="6"/>
        <v>26.2</v>
      </c>
      <c r="M81" s="450"/>
      <c r="N81" s="449" t="str">
        <f t="shared" si="7"/>
        <v/>
      </c>
      <c r="O81" s="451"/>
      <c r="P81" s="366"/>
      <c r="Q81" s="115"/>
      <c r="T81" s="260">
        <f>IF(T71="",IFERROR(ROUNDDOWN(1.1/3*T70*$I79*J70*J70/$T$42/1000,1),""),T71)</f>
        <v>0</v>
      </c>
      <c r="U81" s="255">
        <f>IF(U71="",IFERROR(ROUNDDOWN(1.1/3*U70*$I79*K70*K70/$T$42/1000,1),""),U71)</f>
        <v>0</v>
      </c>
      <c r="V81" s="256">
        <f>IF(V71="",IFERROR(ROUNDDOWN(1.1/3*V70*$I79*L70*M70/$T$42/1000,1),""),V71)</f>
        <v>0</v>
      </c>
      <c r="W81" s="256" t="e">
        <f>IF(W71="",IFERROR(ROUNDDOWN(1.1/3*W70*$I79*N70*O70/$T$42/1000,1),""),W71)</f>
        <v>#DIV/0!</v>
      </c>
      <c r="X81" s="257"/>
      <c r="Y81" s="237"/>
      <c r="AA81" s="5"/>
      <c r="AB81" s="5"/>
    </row>
    <row r="82" spans="2:28" ht="30" customHeight="1" thickBot="1">
      <c r="B82" s="402"/>
      <c r="C82" s="252" t="s">
        <v>170</v>
      </c>
      <c r="D82" s="410" t="s">
        <v>322</v>
      </c>
      <c r="E82" s="411"/>
      <c r="F82" s="412"/>
      <c r="G82" s="438" t="s">
        <v>324</v>
      </c>
      <c r="H82" s="439"/>
      <c r="I82" s="369"/>
      <c r="J82" s="374">
        <f t="shared" si="5"/>
        <v>0</v>
      </c>
      <c r="K82" s="374">
        <f t="shared" si="5"/>
        <v>0</v>
      </c>
      <c r="L82" s="435">
        <f t="shared" si="6"/>
        <v>0</v>
      </c>
      <c r="M82" s="436"/>
      <c r="N82" s="435" t="str">
        <f t="shared" si="7"/>
        <v/>
      </c>
      <c r="O82" s="437"/>
      <c r="P82" s="366"/>
      <c r="Q82" s="115"/>
      <c r="R82" s="17"/>
      <c r="S82" s="17"/>
      <c r="T82" s="112">
        <f>IF(T71="",IFERROR(ROUNDDOWN(1.1/3*T70*$I80*J70*J70/$U$42/1000,1),""),T71)</f>
        <v>10.3</v>
      </c>
      <c r="U82" s="256">
        <f>IF(U71="",IFERROR(ROUNDDOWN(1.1/3*U70*$I80*K70*K70/$U$42/1000,1),""),U71)</f>
        <v>17</v>
      </c>
      <c r="V82" s="256">
        <f>IF(V71="",IFERROR(ROUNDDOWN(1.1/3*V70*$I80*L70*M70/$U$42/1000,1),""),V71)</f>
        <v>20.6</v>
      </c>
      <c r="W82" s="256" t="e">
        <f>IF(W71="",IFERROR(ROUNDDOWN(1.1/3*W70*$I80*N70*O70/$U$42/1000,1),""),W71)</f>
        <v>#DIV/0!</v>
      </c>
      <c r="X82" s="257" t="str">
        <f>IF(D80="JAS機械等級区分構造用製材","機械",IF(D80="JAS目視等級区分構造用製材", "目視",IF(D80="無等級材","無等級",IF(D80="JAS同一等級構成集成材","集成材","LVL"))))</f>
        <v>目視</v>
      </c>
      <c r="Y82" s="237"/>
      <c r="AA82" s="5"/>
      <c r="AB82" s="5"/>
    </row>
    <row r="83" spans="2:28" ht="30" customHeight="1" thickBot="1">
      <c r="B83" s="7" t="s">
        <v>308</v>
      </c>
      <c r="Q83" s="115"/>
      <c r="T83" s="118">
        <f>IF(T71="",IFERROR(ROUNDDOWN(1.1/3*T70*$I81*J70*J70/$U$42/1000,1),""),T71)</f>
        <v>13.1</v>
      </c>
      <c r="U83" s="262">
        <f>IF(U71="",IFERROR(ROUNDDOWN(1.1/3*U70*$I81*K70*K70/$U$42/1000,1),""),U71)</f>
        <v>21.7</v>
      </c>
      <c r="V83" s="262">
        <f>IF(V71="",IFERROR(ROUNDDOWN(1.1/3*V70*$I81*L70*M70/$U$42/1000,1),""),V71)</f>
        <v>26.2</v>
      </c>
      <c r="W83" s="262" t="e">
        <f>IF(W71="",IFERROR(ROUNDDOWN(1.1/3*W70*$I81*N70*O70/$U$42/1000,1),""),W71)</f>
        <v>#DIV/0!</v>
      </c>
      <c r="X83" s="183" t="str">
        <f>IF(D81="JAS機械等級区分構造用製材","機械",IF(D81="JAS目視等級区分構造用製材", "目視",IF(D81="無等級材","無等級",IF(D81="JAS同一等級構成集成材","集成材","LVL"))))</f>
        <v>集成材</v>
      </c>
      <c r="Y83" s="237"/>
      <c r="AA83" s="5"/>
      <c r="AB83" s="5"/>
    </row>
    <row r="84" spans="2:28" ht="30" customHeight="1" thickBot="1">
      <c r="O84" s="265"/>
      <c r="P84" s="265"/>
      <c r="Q84" s="115"/>
      <c r="T84" s="118">
        <f>IF(T71="",IFERROR(ROUNDDOWN(1.1/3*T70*$I82*J70*J70/$U$42/1000,1),""),T71)</f>
        <v>0</v>
      </c>
      <c r="U84" s="262">
        <f>IF(U71="",IFERROR(ROUNDDOWN(1.1/3*U70*$I82*K70*K70/$U$42/1000,1),""),U71)</f>
        <v>0</v>
      </c>
      <c r="V84" s="262">
        <f>IF(V71="",IFERROR(ROUNDDOWN(1.1/3*V70*$I82*L70*M70/$U$42/1000,1),""),V71)</f>
        <v>0</v>
      </c>
      <c r="W84" s="262" t="e">
        <f>IF(W71="",IFERROR(ROUNDDOWN(1.1/3*W70*$I82*N70*O70/$U$42/1000,1),""),W71)</f>
        <v>#DIV/0!</v>
      </c>
      <c r="X84" s="183"/>
      <c r="Y84" s="237"/>
      <c r="AA84" s="5"/>
      <c r="AB84" s="5"/>
    </row>
    <row r="85" spans="2:28" ht="30" customHeight="1">
      <c r="O85" s="265"/>
      <c r="P85" s="265"/>
      <c r="Q85" s="115"/>
      <c r="X85" s="237"/>
      <c r="Y85" s="237"/>
      <c r="AA85" s="5"/>
      <c r="AB85" s="5"/>
    </row>
    <row r="86" spans="2:28" ht="18" customHeight="1">
      <c r="AA86" s="5"/>
      <c r="AB86" s="5"/>
    </row>
    <row r="87" spans="2:28" ht="30" customHeight="1">
      <c r="Q87" s="15"/>
      <c r="AA87" s="5"/>
      <c r="AB87" s="5"/>
    </row>
    <row r="88" spans="2:28" ht="30" customHeight="1">
      <c r="Q88" s="15"/>
      <c r="AA88" s="5"/>
      <c r="AB88" s="5"/>
    </row>
    <row r="89" spans="2:28" ht="30" customHeight="1">
      <c r="Q89" s="14"/>
      <c r="AA89" s="5"/>
      <c r="AB89" s="5"/>
    </row>
    <row r="90" spans="2:28" ht="30" customHeight="1">
      <c r="AA90" s="5"/>
      <c r="AB90" s="5"/>
    </row>
    <row r="91" spans="2:28" ht="30" customHeight="1">
      <c r="AA91" s="5"/>
    </row>
    <row r="92" spans="2:28" ht="30" customHeight="1"/>
    <row r="93" spans="2:28">
      <c r="Q93" s="17"/>
    </row>
  </sheetData>
  <sheetProtection algorithmName="SHA-512" hashValue="3hgnT4u9TXjqrLoDjDhRBMVjmnOTYyshBfzcZaT3lZSi6uY/nI5YDrh6dNQcDQ+P6FA7cYFwybeQ/TFV4ZnGcQ==" saltValue="JXDIqZ2/Tg2q8US88A5TmA==" spinCount="100000" sheet="1" objects="1" scenarios="1"/>
  <mergeCells count="238">
    <mergeCell ref="N75:O75"/>
    <mergeCell ref="D75:E75"/>
    <mergeCell ref="G81:H81"/>
    <mergeCell ref="L81:M81"/>
    <mergeCell ref="N81:O81"/>
    <mergeCell ref="G76:H76"/>
    <mergeCell ref="L76:M76"/>
    <mergeCell ref="N76:O76"/>
    <mergeCell ref="G77:H77"/>
    <mergeCell ref="L77:M77"/>
    <mergeCell ref="N77:O77"/>
    <mergeCell ref="G78:H78"/>
    <mergeCell ref="L78:M78"/>
    <mergeCell ref="N78:O78"/>
    <mergeCell ref="N80:O80"/>
    <mergeCell ref="G75:H75"/>
    <mergeCell ref="L75:M75"/>
    <mergeCell ref="L58:M58"/>
    <mergeCell ref="M47:N47"/>
    <mergeCell ref="B49:O49"/>
    <mergeCell ref="B52:C53"/>
    <mergeCell ref="D52:K52"/>
    <mergeCell ref="L52:O52"/>
    <mergeCell ref="D53:F53"/>
    <mergeCell ref="N55:O55"/>
    <mergeCell ref="D57:H57"/>
    <mergeCell ref="I57:K57"/>
    <mergeCell ref="L57:M57"/>
    <mergeCell ref="N57:O57"/>
    <mergeCell ref="B58:B61"/>
    <mergeCell ref="D60:F60"/>
    <mergeCell ref="G60:H60"/>
    <mergeCell ref="D61:H61"/>
    <mergeCell ref="D59:F59"/>
    <mergeCell ref="G59:H59"/>
    <mergeCell ref="I59:K59"/>
    <mergeCell ref="L59:M59"/>
    <mergeCell ref="L56:M56"/>
    <mergeCell ref="N56:O56"/>
    <mergeCell ref="B47:L47"/>
    <mergeCell ref="G53:H53"/>
    <mergeCell ref="L53:M53"/>
    <mergeCell ref="N53:O53"/>
    <mergeCell ref="B54:B57"/>
    <mergeCell ref="D54:F54"/>
    <mergeCell ref="G54:H54"/>
    <mergeCell ref="I54:K54"/>
    <mergeCell ref="L54:M54"/>
    <mergeCell ref="N54:O54"/>
    <mergeCell ref="D55:F55"/>
    <mergeCell ref="G55:H55"/>
    <mergeCell ref="I55:K55"/>
    <mergeCell ref="L55:M55"/>
    <mergeCell ref="I53:K53"/>
    <mergeCell ref="Z39:Z40"/>
    <mergeCell ref="R41:S41"/>
    <mergeCell ref="B41:C43"/>
    <mergeCell ref="D41:F41"/>
    <mergeCell ref="R42:S42"/>
    <mergeCell ref="D42:D43"/>
    <mergeCell ref="E42:F43"/>
    <mergeCell ref="B44:C44"/>
    <mergeCell ref="E44:F44"/>
    <mergeCell ref="R39:S40"/>
    <mergeCell ref="T39:T40"/>
    <mergeCell ref="U39:U40"/>
    <mergeCell ref="V39:V40"/>
    <mergeCell ref="W39:W40"/>
    <mergeCell ref="X39:X40"/>
    <mergeCell ref="R34:S34"/>
    <mergeCell ref="B11:B28"/>
    <mergeCell ref="R33:S33"/>
    <mergeCell ref="N28:O28"/>
    <mergeCell ref="C25:E28"/>
    <mergeCell ref="F25:G28"/>
    <mergeCell ref="H25:K28"/>
    <mergeCell ref="L25:O25"/>
    <mergeCell ref="L26:M26"/>
    <mergeCell ref="N26:O26"/>
    <mergeCell ref="L27:M27"/>
    <mergeCell ref="N27:O27"/>
    <mergeCell ref="L28:M28"/>
    <mergeCell ref="C11:E11"/>
    <mergeCell ref="F11:G11"/>
    <mergeCell ref="H11:O11"/>
    <mergeCell ref="C15:E15"/>
    <mergeCell ref="F15:G15"/>
    <mergeCell ref="H15:O15"/>
    <mergeCell ref="K6:L6"/>
    <mergeCell ref="V27:W27"/>
    <mergeCell ref="B32:B33"/>
    <mergeCell ref="C32:E33"/>
    <mergeCell ref="F32:G32"/>
    <mergeCell ref="H32:I32"/>
    <mergeCell ref="F33:G33"/>
    <mergeCell ref="H33:I33"/>
    <mergeCell ref="T12:U12"/>
    <mergeCell ref="W10:X10"/>
    <mergeCell ref="T11:U11"/>
    <mergeCell ref="V11:W11"/>
    <mergeCell ref="H19:K21"/>
    <mergeCell ref="C13:E13"/>
    <mergeCell ref="F13:G13"/>
    <mergeCell ref="H13:O13"/>
    <mergeCell ref="C14:E14"/>
    <mergeCell ref="F14:G14"/>
    <mergeCell ref="H14:O14"/>
    <mergeCell ref="T15:U15"/>
    <mergeCell ref="C22:E24"/>
    <mergeCell ref="F22:G24"/>
    <mergeCell ref="H22:K24"/>
    <mergeCell ref="T5:U5"/>
    <mergeCell ref="T4:U4"/>
    <mergeCell ref="C12:E12"/>
    <mergeCell ref="F12:G12"/>
    <mergeCell ref="H12:O12"/>
    <mergeCell ref="A1:O2"/>
    <mergeCell ref="T1:U1"/>
    <mergeCell ref="T2:U2"/>
    <mergeCell ref="W2:X2"/>
    <mergeCell ref="M3:O3"/>
    <mergeCell ref="T3:U3"/>
    <mergeCell ref="T8:U8"/>
    <mergeCell ref="T9:U9"/>
    <mergeCell ref="W9:X9"/>
    <mergeCell ref="A4:C4"/>
    <mergeCell ref="D4:F4"/>
    <mergeCell ref="H4:O4"/>
    <mergeCell ref="A5:C5"/>
    <mergeCell ref="D5:F5"/>
    <mergeCell ref="M5:O5"/>
    <mergeCell ref="A6:C6"/>
    <mergeCell ref="R10:R11"/>
    <mergeCell ref="T10:U10"/>
    <mergeCell ref="D6:E6"/>
    <mergeCell ref="C16:E16"/>
    <mergeCell ref="F16:G16"/>
    <mergeCell ref="H16:O16"/>
    <mergeCell ref="T17:U17"/>
    <mergeCell ref="C19:E21"/>
    <mergeCell ref="F19:G21"/>
    <mergeCell ref="T16:U16"/>
    <mergeCell ref="R16:R20"/>
    <mergeCell ref="C17:E17"/>
    <mergeCell ref="F17:G17"/>
    <mergeCell ref="H17:O17"/>
    <mergeCell ref="T18:U18"/>
    <mergeCell ref="C18:E18"/>
    <mergeCell ref="F18:G18"/>
    <mergeCell ref="H18:O18"/>
    <mergeCell ref="T25:U25"/>
    <mergeCell ref="X13:Y13"/>
    <mergeCell ref="L19:O19"/>
    <mergeCell ref="T20:U20"/>
    <mergeCell ref="L20:O20"/>
    <mergeCell ref="T21:U21"/>
    <mergeCell ref="L21:O21"/>
    <mergeCell ref="T22:U22"/>
    <mergeCell ref="R21:R22"/>
    <mergeCell ref="T14:U14"/>
    <mergeCell ref="T13:U13"/>
    <mergeCell ref="T19:U19"/>
    <mergeCell ref="X14:Y14"/>
    <mergeCell ref="L22:O22"/>
    <mergeCell ref="T23:U23"/>
    <mergeCell ref="L23:M23"/>
    <mergeCell ref="N23:O23"/>
    <mergeCell ref="T24:U24"/>
    <mergeCell ref="L24:M24"/>
    <mergeCell ref="N24:O24"/>
    <mergeCell ref="T27:U27"/>
    <mergeCell ref="N60:O60"/>
    <mergeCell ref="R68:R71"/>
    <mergeCell ref="L72:M72"/>
    <mergeCell ref="N72:O72"/>
    <mergeCell ref="G73:H73"/>
    <mergeCell ref="L73:M73"/>
    <mergeCell ref="N73:O73"/>
    <mergeCell ref="B63:O63"/>
    <mergeCell ref="B67:C70"/>
    <mergeCell ref="D67:H67"/>
    <mergeCell ref="I67:O67"/>
    <mergeCell ref="D68:E70"/>
    <mergeCell ref="F68:F70"/>
    <mergeCell ref="G68:H70"/>
    <mergeCell ref="I68:I70"/>
    <mergeCell ref="L68:M68"/>
    <mergeCell ref="N68:O68"/>
    <mergeCell ref="B45:C45"/>
    <mergeCell ref="E45:F45"/>
    <mergeCell ref="B51:O51"/>
    <mergeCell ref="N58:O58"/>
    <mergeCell ref="D56:F56"/>
    <mergeCell ref="G56:H56"/>
    <mergeCell ref="B80:B82"/>
    <mergeCell ref="D80:E80"/>
    <mergeCell ref="D82:F82"/>
    <mergeCell ref="B77:B79"/>
    <mergeCell ref="D77:E77"/>
    <mergeCell ref="D79:F79"/>
    <mergeCell ref="G82:H82"/>
    <mergeCell ref="I56:K56"/>
    <mergeCell ref="D58:F58"/>
    <mergeCell ref="G58:H58"/>
    <mergeCell ref="I58:K58"/>
    <mergeCell ref="L82:M82"/>
    <mergeCell ref="N82:O82"/>
    <mergeCell ref="G79:H79"/>
    <mergeCell ref="L79:M79"/>
    <mergeCell ref="N79:O79"/>
    <mergeCell ref="G80:H80"/>
    <mergeCell ref="L80:M80"/>
    <mergeCell ref="D78:E78"/>
    <mergeCell ref="D81:E81"/>
    <mergeCell ref="Y32:Z32"/>
    <mergeCell ref="R64:R67"/>
    <mergeCell ref="S72:S73"/>
    <mergeCell ref="B74:B76"/>
    <mergeCell ref="D74:E74"/>
    <mergeCell ref="G74:H74"/>
    <mergeCell ref="L74:M74"/>
    <mergeCell ref="N74:O74"/>
    <mergeCell ref="D76:F76"/>
    <mergeCell ref="B71:B73"/>
    <mergeCell ref="D71:E71"/>
    <mergeCell ref="G71:H71"/>
    <mergeCell ref="L71:M71"/>
    <mergeCell ref="N71:O71"/>
    <mergeCell ref="D72:E72"/>
    <mergeCell ref="G72:H72"/>
    <mergeCell ref="D73:F73"/>
    <mergeCell ref="N59:O59"/>
    <mergeCell ref="I60:K60"/>
    <mergeCell ref="L60:M60"/>
    <mergeCell ref="I61:K61"/>
    <mergeCell ref="L61:M61"/>
    <mergeCell ref="N61:O61"/>
    <mergeCell ref="Y39:Y40"/>
  </mergeCells>
  <phoneticPr fontId="1"/>
  <conditionalFormatting sqref="L19">
    <cfRule type="cellIs" dxfId="13" priority="6" operator="equal">
      <formula>"下記へ数値入力してください。"</formula>
    </cfRule>
  </conditionalFormatting>
  <conditionalFormatting sqref="L22">
    <cfRule type="cellIs" dxfId="12" priority="5" operator="equal">
      <formula>"下記へ数値入力してください。"</formula>
    </cfRule>
  </conditionalFormatting>
  <conditionalFormatting sqref="L25">
    <cfRule type="cellIs" dxfId="11" priority="4" operator="equal">
      <formula>"下記へ数値入力してください。"</formula>
    </cfRule>
  </conditionalFormatting>
  <conditionalFormatting sqref="L19:P19">
    <cfRule type="cellIs" dxfId="10" priority="3" operator="equal">
      <formula>"下記の数値を削除してください"</formula>
    </cfRule>
  </conditionalFormatting>
  <conditionalFormatting sqref="L22:P22">
    <cfRule type="cellIs" dxfId="9" priority="2" operator="equal">
      <formula>"下記の数値を削除してください"</formula>
    </cfRule>
  </conditionalFormatting>
  <conditionalFormatting sqref="L25:P25">
    <cfRule type="cellIs" dxfId="8" priority="1" operator="equal">
      <formula>"下記の数値を削除してください"</formula>
    </cfRule>
  </conditionalFormatting>
  <dataValidations count="12">
    <dataValidation type="list" allowBlank="1" showInputMessage="1" showErrorMessage="1" sqref="F71:F72 F74:F75 F77:F78 F80:F81">
      <formula1>INDIRECT(D71)</formula1>
    </dataValidation>
    <dataValidation type="list" allowBlank="1" showInputMessage="1" showErrorMessage="1" sqref="G54:H54 G55:G56 G58:G60">
      <formula1>INDIRECT(D54)</formula1>
    </dataValidation>
    <dataValidation type="list" allowBlank="1" showInputMessage="1" showErrorMessage="1" sqref="F17:G17">
      <formula1>$S$5:$S$9</formula1>
    </dataValidation>
    <dataValidation type="list" allowBlank="1" showInputMessage="1" showErrorMessage="1" sqref="F22">
      <formula1>$S$10:$S$11</formula1>
    </dataValidation>
    <dataValidation type="list" allowBlank="1" showInputMessage="1" showErrorMessage="1" sqref="G71:H72 G74:H75 G77:H78 G80:H81">
      <formula1>INDIRECT(X73)</formula1>
    </dataValidation>
    <dataValidation type="list" allowBlank="1" showInputMessage="1" showErrorMessage="1" sqref="F18:G18">
      <formula1>$S$16:$S$20</formula1>
    </dataValidation>
    <dataValidation type="list" allowBlank="1" showInputMessage="1" showErrorMessage="1" sqref="F25:G28">
      <formula1>$S$21:$S$22</formula1>
    </dataValidation>
    <dataValidation type="list" allowBlank="1" showInputMessage="1" showErrorMessage="1" sqref="F14:G14">
      <formula1>$Y$3:$Y$4</formula1>
    </dataValidation>
    <dataValidation type="list" allowBlank="1" showInputMessage="1" showErrorMessage="1" sqref="F19">
      <formula1>$S$2:$S$4</formula1>
    </dataValidation>
    <dataValidation type="list" allowBlank="1" showInputMessage="1" showErrorMessage="1" sqref="I58:K60 I54:K56">
      <formula1>INDIRECT(X54)</formula1>
    </dataValidation>
    <dataValidation type="list" allowBlank="1" showInputMessage="1" showErrorMessage="1" sqref="F19">
      <formula1>#REF!</formula1>
    </dataValidation>
    <dataValidation type="list" allowBlank="1" showInputMessage="1" showErrorMessage="1" sqref="D5:D6 E6">
      <formula1>$AA$2:$AA$4</formula1>
    </dataValidation>
  </dataValidations>
  <hyperlinks>
    <hyperlink ref="F29" location="表計算ツールの解説・注意事項!A63" display="こちら。"/>
    <hyperlink ref="M47:N47" location="表計算ツールの解説・注意事項!A219" display="こちら。"/>
    <hyperlink ref="G40" location="表計算ツールの解説・注意事項!A112" display="こちら。"/>
    <hyperlink ref="G50" location="表計算ツールの解説・注意事項!A178" display="こちら。"/>
    <hyperlink ref="G64" location="表計算ツールの解説・注意事項!A187" display="こちら。"/>
  </hyperlinks>
  <pageMargins left="0.70866141732283472" right="0.70866141732283472" top="0.74803149606299213" bottom="0.74803149606299213" header="0.31496062992125984" footer="0.31496062992125984"/>
  <pageSetup paperSize="9" scale="77" fitToHeight="0" orientation="portrait" r:id="rId1"/>
  <rowBreaks count="1" manualBreakCount="1">
    <brk id="49"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8" r:id="rId4" name="Check Box 6">
              <controlPr defaultSize="0" autoFill="0" autoLine="0" autoPict="0">
                <anchor moveWithCells="1">
                  <from>
                    <xdr:col>0</xdr:col>
                    <xdr:colOff>0</xdr:colOff>
                    <xdr:row>37</xdr:row>
                    <xdr:rowOff>219075</xdr:rowOff>
                  </from>
                  <to>
                    <xdr:col>1</xdr:col>
                    <xdr:colOff>9525</xdr:colOff>
                    <xdr:row>38</xdr:row>
                    <xdr:rowOff>219075</xdr:rowOff>
                  </to>
                </anchor>
              </controlPr>
            </control>
          </mc:Choice>
        </mc:AlternateContent>
        <mc:AlternateContent xmlns:mc="http://schemas.openxmlformats.org/markup-compatibility/2006">
          <mc:Choice Requires="x14">
            <control shapeId="13319" r:id="rId5" name="Check Box 7">
              <controlPr defaultSize="0" autoFill="0" autoLine="0" autoPict="0">
                <anchor moveWithCells="1">
                  <from>
                    <xdr:col>0</xdr:col>
                    <xdr:colOff>0</xdr:colOff>
                    <xdr:row>48</xdr:row>
                    <xdr:rowOff>0</xdr:rowOff>
                  </from>
                  <to>
                    <xdr:col>1</xdr:col>
                    <xdr:colOff>9525</xdr:colOff>
                    <xdr:row>48</xdr:row>
                    <xdr:rowOff>257175</xdr:rowOff>
                  </to>
                </anchor>
              </controlPr>
            </control>
          </mc:Choice>
        </mc:AlternateContent>
        <mc:AlternateContent xmlns:mc="http://schemas.openxmlformats.org/markup-compatibility/2006">
          <mc:Choice Requires="x14">
            <control shapeId="13320" r:id="rId6" name="Check Box 8">
              <controlPr defaultSize="0" autoFill="0" autoLine="0" autoPict="0">
                <anchor moveWithCells="1">
                  <from>
                    <xdr:col>0</xdr:col>
                    <xdr:colOff>28575</xdr:colOff>
                    <xdr:row>62</xdr:row>
                    <xdr:rowOff>28575</xdr:rowOff>
                  </from>
                  <to>
                    <xdr:col>0</xdr:col>
                    <xdr:colOff>266700</xdr:colOff>
                    <xdr:row>63</xdr:row>
                    <xdr:rowOff>28575</xdr:rowOff>
                  </to>
                </anchor>
              </controlPr>
            </control>
          </mc:Choice>
        </mc:AlternateContent>
        <mc:AlternateContent xmlns:mc="http://schemas.openxmlformats.org/markup-compatibility/2006">
          <mc:Choice Requires="x14">
            <control shapeId="13321" r:id="rId7" name="Check Box 9">
              <controlPr defaultSize="0" autoFill="0" autoLine="0" autoPict="0">
                <anchor moveWithCells="1">
                  <from>
                    <xdr:col>0</xdr:col>
                    <xdr:colOff>0</xdr:colOff>
                    <xdr:row>37</xdr:row>
                    <xdr:rowOff>219075</xdr:rowOff>
                  </from>
                  <to>
                    <xdr:col>1</xdr:col>
                    <xdr:colOff>9525</xdr:colOff>
                    <xdr:row>38</xdr:row>
                    <xdr:rowOff>219075</xdr:rowOff>
                  </to>
                </anchor>
              </controlPr>
            </control>
          </mc:Choice>
        </mc:AlternateContent>
        <mc:AlternateContent xmlns:mc="http://schemas.openxmlformats.org/markup-compatibility/2006">
          <mc:Choice Requires="x14">
            <control shapeId="13322" r:id="rId8" name="Check Box 10">
              <controlPr defaultSize="0" autoFill="0" autoLine="0" autoPict="0">
                <anchor moveWithCells="1">
                  <from>
                    <xdr:col>0</xdr:col>
                    <xdr:colOff>0</xdr:colOff>
                    <xdr:row>48</xdr:row>
                    <xdr:rowOff>0</xdr:rowOff>
                  </from>
                  <to>
                    <xdr:col>1</xdr:col>
                    <xdr:colOff>9525</xdr:colOff>
                    <xdr:row>48</xdr:row>
                    <xdr:rowOff>257175</xdr:rowOff>
                  </to>
                </anchor>
              </controlPr>
            </control>
          </mc:Choice>
        </mc:AlternateContent>
        <mc:AlternateContent xmlns:mc="http://schemas.openxmlformats.org/markup-compatibility/2006">
          <mc:Choice Requires="x14">
            <control shapeId="13323" r:id="rId9" name="Check Box 11">
              <controlPr defaultSize="0" autoFill="0" autoLine="0" autoPict="0">
                <anchor moveWithCells="1">
                  <from>
                    <xdr:col>0</xdr:col>
                    <xdr:colOff>28575</xdr:colOff>
                    <xdr:row>62</xdr:row>
                    <xdr:rowOff>28575</xdr:rowOff>
                  </from>
                  <to>
                    <xdr:col>0</xdr:col>
                    <xdr:colOff>266700</xdr:colOff>
                    <xdr:row>63</xdr:row>
                    <xdr:rowOff>28575</xdr:rowOff>
                  </to>
                </anchor>
              </controlPr>
            </control>
          </mc:Choice>
        </mc:AlternateContent>
        <mc:AlternateContent xmlns:mc="http://schemas.openxmlformats.org/markup-compatibility/2006">
          <mc:Choice Requires="x14">
            <control shapeId="13324" r:id="rId10" name="Check Box 12">
              <controlPr defaultSize="0" autoFill="0" autoLine="0" autoPict="0">
                <anchor moveWithCells="1">
                  <from>
                    <xdr:col>0</xdr:col>
                    <xdr:colOff>0</xdr:colOff>
                    <xdr:row>37</xdr:row>
                    <xdr:rowOff>219075</xdr:rowOff>
                  </from>
                  <to>
                    <xdr:col>1</xdr:col>
                    <xdr:colOff>9525</xdr:colOff>
                    <xdr:row>38</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柱の圧縮基準強度!$I$1:$M$1</xm:f>
          </x14:formula1>
          <xm:sqref>D58:F60 D54:F56 D71:D72 D74:D75 D77:D78 D80:D81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82"/>
  <sheetViews>
    <sheetView view="pageBreakPreview" zoomScale="130" zoomScaleNormal="92" zoomScaleSheetLayoutView="130" workbookViewId="0">
      <selection activeCell="H4" sqref="H4:O4"/>
    </sheetView>
  </sheetViews>
  <sheetFormatPr defaultRowHeight="18.75"/>
  <cols>
    <col min="1" max="1" width="3.625" customWidth="1"/>
    <col min="2" max="2" width="6.125" style="7" customWidth="1"/>
    <col min="3" max="3" width="5.875" customWidth="1"/>
    <col min="4" max="5" width="8.125" customWidth="1"/>
    <col min="6" max="6" width="8.125" style="4" customWidth="1"/>
    <col min="7" max="7" width="7.625" style="4" customWidth="1"/>
    <col min="8" max="9" width="7.625" customWidth="1"/>
    <col min="10" max="11" width="8.625" customWidth="1"/>
    <col min="12" max="13" width="5.625" customWidth="1"/>
    <col min="14" max="14" width="5.625" style="5" customWidth="1"/>
    <col min="15" max="15" width="5.25" style="5" customWidth="1"/>
    <col min="16" max="26" width="15.25" style="5" hidden="1" customWidth="1"/>
    <col min="27" max="27" width="15.25" hidden="1" customWidth="1"/>
    <col min="28" max="28" width="12.25" customWidth="1"/>
    <col min="29" max="29" width="7.75" customWidth="1"/>
  </cols>
  <sheetData>
    <row r="1" spans="1:29" ht="18" customHeight="1">
      <c r="A1" s="564" t="s">
        <v>457</v>
      </c>
      <c r="B1" s="564"/>
      <c r="C1" s="564"/>
      <c r="D1" s="564"/>
      <c r="E1" s="564"/>
      <c r="F1" s="564"/>
      <c r="G1" s="564"/>
      <c r="H1" s="564"/>
      <c r="I1" s="564"/>
      <c r="J1" s="564"/>
      <c r="K1" s="564"/>
      <c r="L1" s="564"/>
      <c r="M1" s="564"/>
      <c r="N1" s="564"/>
      <c r="O1" s="564"/>
      <c r="P1" s="62"/>
      <c r="R1" s="71"/>
      <c r="S1" s="72"/>
      <c r="T1" s="846" t="s">
        <v>31</v>
      </c>
      <c r="U1" s="847"/>
      <c r="V1" s="73"/>
      <c r="W1" s="7"/>
      <c r="AA1" s="5"/>
    </row>
    <row r="2" spans="1:29" ht="18" customHeight="1">
      <c r="A2" s="564"/>
      <c r="B2" s="564"/>
      <c r="C2" s="564"/>
      <c r="D2" s="564"/>
      <c r="E2" s="564"/>
      <c r="F2" s="564"/>
      <c r="G2" s="564"/>
      <c r="H2" s="564"/>
      <c r="I2" s="564"/>
      <c r="J2" s="564"/>
      <c r="K2" s="564"/>
      <c r="L2" s="564"/>
      <c r="M2" s="564"/>
      <c r="N2" s="564"/>
      <c r="O2" s="564"/>
      <c r="P2" s="62"/>
      <c r="R2" s="74" t="s">
        <v>6</v>
      </c>
      <c r="S2" s="75" t="s">
        <v>159</v>
      </c>
      <c r="T2" s="848">
        <v>0</v>
      </c>
      <c r="U2" s="849"/>
      <c r="V2" s="76"/>
      <c r="W2" s="753" t="s">
        <v>42</v>
      </c>
      <c r="X2" s="753"/>
      <c r="Y2" s="3" t="s">
        <v>47</v>
      </c>
      <c r="AA2" s="7" t="s">
        <v>602</v>
      </c>
      <c r="AB2" s="5"/>
      <c r="AC2" s="5"/>
    </row>
    <row r="3" spans="1:29" ht="18" customHeight="1" thickBot="1">
      <c r="A3" s="77"/>
      <c r="M3" s="853" t="s">
        <v>589</v>
      </c>
      <c r="N3" s="853"/>
      <c r="O3" s="853"/>
      <c r="P3" s="63"/>
      <c r="R3" s="78"/>
      <c r="S3" s="79" t="s">
        <v>158</v>
      </c>
      <c r="T3" s="832">
        <v>260</v>
      </c>
      <c r="U3" s="833"/>
      <c r="V3" s="80"/>
      <c r="W3" s="81" t="s">
        <v>3</v>
      </c>
      <c r="X3" s="81" t="s">
        <v>0</v>
      </c>
      <c r="Y3" s="6">
        <v>0.2</v>
      </c>
      <c r="AA3" s="7" t="s">
        <v>603</v>
      </c>
      <c r="AB3" s="5"/>
    </row>
    <row r="4" spans="1:29" ht="18" customHeight="1" thickBot="1">
      <c r="A4" s="648" t="s">
        <v>37</v>
      </c>
      <c r="B4" s="649"/>
      <c r="C4" s="649"/>
      <c r="D4" s="815">
        <v>45488</v>
      </c>
      <c r="E4" s="816"/>
      <c r="F4" s="817"/>
      <c r="G4" s="386" t="s">
        <v>34</v>
      </c>
      <c r="H4" s="708" t="s">
        <v>609</v>
      </c>
      <c r="I4" s="708"/>
      <c r="J4" s="708"/>
      <c r="K4" s="708"/>
      <c r="L4" s="708"/>
      <c r="M4" s="708"/>
      <c r="N4" s="708"/>
      <c r="O4" s="709"/>
      <c r="P4" s="273"/>
      <c r="R4" s="82"/>
      <c r="S4" s="83" t="s">
        <v>160</v>
      </c>
      <c r="T4" s="838">
        <f>L19/F14*1.3*9.8</f>
        <v>0</v>
      </c>
      <c r="U4" s="839"/>
      <c r="V4" s="7"/>
      <c r="W4" s="81"/>
      <c r="X4" s="81"/>
      <c r="Y4" s="6">
        <v>0.3</v>
      </c>
      <c r="AA4" s="7" t="s">
        <v>604</v>
      </c>
    </row>
    <row r="5" spans="1:29" ht="18" customHeight="1" thickBot="1">
      <c r="A5" s="710" t="s">
        <v>595</v>
      </c>
      <c r="B5" s="711"/>
      <c r="C5" s="711"/>
      <c r="D5" s="712" t="s">
        <v>602</v>
      </c>
      <c r="E5" s="713"/>
      <c r="F5" s="713"/>
      <c r="G5" s="382" t="s">
        <v>596</v>
      </c>
      <c r="H5" s="376"/>
      <c r="I5" s="383" t="str">
        <f>IF(D5="一級建築士","大臣",IF(D5="","","知事"))</f>
        <v>大臣</v>
      </c>
      <c r="J5" s="375" t="s">
        <v>597</v>
      </c>
      <c r="K5" s="384"/>
      <c r="L5" s="385" t="s">
        <v>598</v>
      </c>
      <c r="M5" s="714" t="s">
        <v>610</v>
      </c>
      <c r="N5" s="714"/>
      <c r="O5" s="715"/>
      <c r="P5" s="27"/>
      <c r="R5" s="85" t="s">
        <v>17</v>
      </c>
      <c r="S5" s="86" t="s">
        <v>11</v>
      </c>
      <c r="T5" s="844">
        <v>1300</v>
      </c>
      <c r="U5" s="845"/>
      <c r="V5" s="7"/>
      <c r="W5" s="87" t="s">
        <v>4</v>
      </c>
      <c r="X5" s="87" t="s">
        <v>1</v>
      </c>
      <c r="Y5" s="88">
        <v>1</v>
      </c>
    </row>
    <row r="6" spans="1:29" ht="18" customHeight="1" thickBot="1">
      <c r="A6" s="716" t="s">
        <v>599</v>
      </c>
      <c r="B6" s="717"/>
      <c r="C6" s="717"/>
      <c r="D6" s="718" t="s">
        <v>602</v>
      </c>
      <c r="E6" s="719"/>
      <c r="F6" s="378" t="s">
        <v>600</v>
      </c>
      <c r="G6" s="379" t="s">
        <v>596</v>
      </c>
      <c r="H6" s="380"/>
      <c r="I6" s="381" t="s">
        <v>601</v>
      </c>
      <c r="J6" s="378" t="s">
        <v>597</v>
      </c>
      <c r="K6" s="720"/>
      <c r="L6" s="721"/>
      <c r="M6" s="139"/>
      <c r="N6" s="139"/>
      <c r="O6" s="139"/>
      <c r="P6" s="20"/>
      <c r="Q6" s="14"/>
      <c r="R6" s="90"/>
      <c r="S6" s="79" t="s">
        <v>12</v>
      </c>
      <c r="T6" s="832">
        <v>1000</v>
      </c>
      <c r="U6" s="833"/>
      <c r="W6" s="1" t="s">
        <v>5</v>
      </c>
      <c r="X6" s="1" t="s">
        <v>2</v>
      </c>
      <c r="Y6" s="91">
        <v>1</v>
      </c>
      <c r="AA6" s="5"/>
    </row>
    <row r="7" spans="1:29" ht="18" customHeight="1">
      <c r="A7" s="124"/>
      <c r="B7" s="124"/>
      <c r="C7" s="139"/>
      <c r="D7" s="139"/>
      <c r="E7" s="139"/>
      <c r="F7" s="7"/>
      <c r="G7" s="7"/>
      <c r="H7" s="139"/>
      <c r="I7" s="139"/>
      <c r="J7" s="139"/>
      <c r="K7" s="139"/>
      <c r="L7" s="139"/>
      <c r="M7" s="139"/>
      <c r="N7" s="139"/>
      <c r="O7" s="139"/>
      <c r="P7" s="20"/>
      <c r="Q7" s="9"/>
      <c r="R7" s="93"/>
      <c r="S7" s="83" t="s">
        <v>13</v>
      </c>
      <c r="T7" s="838">
        <v>650</v>
      </c>
      <c r="U7" s="839"/>
      <c r="V7" s="94"/>
      <c r="W7" s="743"/>
      <c r="X7" s="743"/>
      <c r="Y7" s="95"/>
      <c r="AA7" s="5"/>
    </row>
    <row r="8" spans="1:29" ht="18" customHeight="1">
      <c r="A8" s="92" t="s">
        <v>296</v>
      </c>
      <c r="I8" s="4"/>
      <c r="J8" s="4"/>
      <c r="K8" s="4"/>
      <c r="L8" s="4"/>
      <c r="M8" s="4"/>
      <c r="N8" s="4"/>
      <c r="O8" s="4"/>
      <c r="P8" s="22"/>
      <c r="R8" s="744" t="s">
        <v>163</v>
      </c>
      <c r="S8" s="99" t="s">
        <v>164</v>
      </c>
      <c r="T8" s="775">
        <v>100</v>
      </c>
      <c r="U8" s="776"/>
      <c r="W8" s="722"/>
      <c r="X8" s="722"/>
      <c r="Y8" s="100"/>
      <c r="AA8" s="94"/>
      <c r="AB8" s="8"/>
    </row>
    <row r="9" spans="1:29" s="8" customFormat="1" ht="18" customHeight="1" thickBot="1">
      <c r="A9" s="96" t="s">
        <v>426</v>
      </c>
      <c r="B9" s="97"/>
      <c r="F9" s="98"/>
      <c r="G9" s="98"/>
      <c r="I9" s="98"/>
      <c r="J9" s="98"/>
      <c r="K9" s="98"/>
      <c r="L9" s="98"/>
      <c r="M9" s="98"/>
      <c r="N9" s="9"/>
      <c r="O9" s="9"/>
      <c r="P9" s="21"/>
      <c r="Q9" s="5"/>
      <c r="R9" s="745"/>
      <c r="S9" s="101" t="s">
        <v>157</v>
      </c>
      <c r="T9" s="777">
        <f>ROUNDUP(L22*N22/1000*9.8,-1)</f>
        <v>0</v>
      </c>
      <c r="U9" s="778"/>
      <c r="V9" s="606" t="s">
        <v>167</v>
      </c>
      <c r="W9" s="607"/>
      <c r="X9" s="94"/>
      <c r="Y9" s="94"/>
      <c r="Z9" s="94"/>
      <c r="AA9" s="5"/>
      <c r="AB9"/>
    </row>
    <row r="10" spans="1:29" ht="18" customHeight="1" thickBot="1">
      <c r="P10" s="23"/>
      <c r="R10" s="103" t="s">
        <v>23</v>
      </c>
      <c r="S10" s="104"/>
      <c r="T10" s="601">
        <v>610</v>
      </c>
      <c r="U10" s="602"/>
      <c r="V10" s="102"/>
      <c r="W10" s="102"/>
      <c r="X10" s="105"/>
      <c r="Y10" s="105"/>
      <c r="AA10" s="5"/>
    </row>
    <row r="11" spans="1:29" ht="18" customHeight="1" thickBot="1">
      <c r="B11" s="587" t="s">
        <v>35</v>
      </c>
      <c r="C11" s="648" t="s">
        <v>42</v>
      </c>
      <c r="D11" s="649"/>
      <c r="E11" s="650"/>
      <c r="F11" s="651" t="s">
        <v>43</v>
      </c>
      <c r="G11" s="652"/>
      <c r="H11" s="850" t="s">
        <v>166</v>
      </c>
      <c r="I11" s="851"/>
      <c r="J11" s="851"/>
      <c r="K11" s="851"/>
      <c r="L11" s="851"/>
      <c r="M11" s="851"/>
      <c r="N11" s="851"/>
      <c r="O11" s="852"/>
      <c r="P11" s="64"/>
      <c r="R11" s="78" t="s">
        <v>24</v>
      </c>
      <c r="S11" s="79" t="s">
        <v>327</v>
      </c>
      <c r="T11" s="515">
        <v>600</v>
      </c>
      <c r="U11" s="516"/>
      <c r="V11" s="102"/>
      <c r="W11" s="102"/>
      <c r="X11" s="779"/>
      <c r="Y11" s="779"/>
      <c r="AA11" s="5"/>
    </row>
    <row r="12" spans="1:29" ht="18" customHeight="1" thickBot="1">
      <c r="B12" s="633"/>
      <c r="C12" s="533" t="s">
        <v>30</v>
      </c>
      <c r="D12" s="534"/>
      <c r="E12" s="535"/>
      <c r="F12" s="787">
        <v>2.94</v>
      </c>
      <c r="G12" s="788"/>
      <c r="H12" s="789" t="s">
        <v>473</v>
      </c>
      <c r="I12" s="790"/>
      <c r="J12" s="790"/>
      <c r="K12" s="790"/>
      <c r="L12" s="790"/>
      <c r="M12" s="790"/>
      <c r="N12" s="790"/>
      <c r="O12" s="791"/>
      <c r="P12" s="65"/>
      <c r="R12" s="107" t="s">
        <v>24</v>
      </c>
      <c r="S12" s="108" t="s">
        <v>328</v>
      </c>
      <c r="T12" s="513">
        <v>1300</v>
      </c>
      <c r="U12" s="514"/>
      <c r="V12" s="102"/>
      <c r="W12" s="102"/>
      <c r="X12" s="821" t="s">
        <v>231</v>
      </c>
      <c r="Y12" s="822"/>
      <c r="AA12" s="5"/>
    </row>
    <row r="13" spans="1:29" ht="18" customHeight="1">
      <c r="B13" s="633"/>
      <c r="C13" s="619" t="s">
        <v>294</v>
      </c>
      <c r="D13" s="620"/>
      <c r="E13" s="621"/>
      <c r="F13" s="782">
        <v>0.2</v>
      </c>
      <c r="G13" s="783"/>
      <c r="H13" s="784" t="s">
        <v>46</v>
      </c>
      <c r="I13" s="785"/>
      <c r="J13" s="785"/>
      <c r="K13" s="785"/>
      <c r="L13" s="785"/>
      <c r="M13" s="785"/>
      <c r="N13" s="785"/>
      <c r="O13" s="786"/>
      <c r="P13" s="65"/>
      <c r="R13" s="71"/>
      <c r="S13" s="109"/>
      <c r="T13" s="780" t="s">
        <v>53</v>
      </c>
      <c r="U13" s="781"/>
      <c r="X13" s="110" t="s">
        <v>25</v>
      </c>
      <c r="Y13" s="111"/>
      <c r="AA13" s="5"/>
    </row>
    <row r="14" spans="1:29" ht="18" customHeight="1">
      <c r="B14" s="633"/>
      <c r="C14" s="533" t="s">
        <v>45</v>
      </c>
      <c r="D14" s="534"/>
      <c r="E14" s="535"/>
      <c r="F14" s="830">
        <v>69.22</v>
      </c>
      <c r="G14" s="831"/>
      <c r="H14" s="784" t="s">
        <v>302</v>
      </c>
      <c r="I14" s="785"/>
      <c r="J14" s="785"/>
      <c r="K14" s="785"/>
      <c r="L14" s="785"/>
      <c r="M14" s="785"/>
      <c r="N14" s="785"/>
      <c r="O14" s="786"/>
      <c r="P14" s="65"/>
      <c r="R14" s="511" t="s">
        <v>9</v>
      </c>
      <c r="S14" s="99" t="s">
        <v>27</v>
      </c>
      <c r="T14" s="775">
        <v>1000</v>
      </c>
      <c r="U14" s="776"/>
      <c r="X14" s="112">
        <f t="shared" ref="X14:X20" si="0">ROUNDUP(T14*((6*$F$12*2+16.5*$F$12*2)*(1-0.09)/(6*16.5)),-1)</f>
        <v>1220</v>
      </c>
      <c r="Y14" s="113"/>
      <c r="AA14" s="5"/>
    </row>
    <row r="15" spans="1:29" ht="18" customHeight="1">
      <c r="B15" s="633"/>
      <c r="C15" s="533" t="s">
        <v>40</v>
      </c>
      <c r="D15" s="534"/>
      <c r="E15" s="535"/>
      <c r="F15" s="804" t="s">
        <v>12</v>
      </c>
      <c r="G15" s="805"/>
      <c r="H15" s="784" t="s">
        <v>233</v>
      </c>
      <c r="I15" s="785"/>
      <c r="J15" s="785"/>
      <c r="K15" s="785"/>
      <c r="L15" s="785"/>
      <c r="M15" s="785"/>
      <c r="N15" s="785"/>
      <c r="O15" s="786"/>
      <c r="P15" s="65"/>
      <c r="R15" s="554"/>
      <c r="S15" s="79" t="s">
        <v>28</v>
      </c>
      <c r="T15" s="832">
        <v>890</v>
      </c>
      <c r="U15" s="833"/>
      <c r="X15" s="112">
        <f t="shared" si="0"/>
        <v>1090</v>
      </c>
      <c r="Y15" s="113"/>
      <c r="AA15" s="5"/>
    </row>
    <row r="16" spans="1:29" ht="18" customHeight="1">
      <c r="B16" s="633"/>
      <c r="C16" s="533" t="s">
        <v>41</v>
      </c>
      <c r="D16" s="534"/>
      <c r="E16" s="535"/>
      <c r="F16" s="806" t="s">
        <v>402</v>
      </c>
      <c r="G16" s="807"/>
      <c r="H16" s="784" t="s">
        <v>233</v>
      </c>
      <c r="I16" s="785"/>
      <c r="J16" s="785"/>
      <c r="K16" s="785"/>
      <c r="L16" s="785"/>
      <c r="M16" s="785"/>
      <c r="N16" s="785"/>
      <c r="O16" s="786"/>
      <c r="P16" s="66"/>
      <c r="R16" s="554"/>
      <c r="S16" s="79" t="s">
        <v>14</v>
      </c>
      <c r="T16" s="832">
        <v>600</v>
      </c>
      <c r="U16" s="833"/>
      <c r="X16" s="112">
        <f t="shared" si="0"/>
        <v>730</v>
      </c>
      <c r="Y16" s="113"/>
      <c r="AA16" s="5"/>
    </row>
    <row r="17" spans="2:28" ht="18" customHeight="1">
      <c r="B17" s="633"/>
      <c r="C17" s="455" t="s">
        <v>290</v>
      </c>
      <c r="D17" s="544"/>
      <c r="E17" s="456"/>
      <c r="F17" s="794" t="s">
        <v>413</v>
      </c>
      <c r="G17" s="795"/>
      <c r="H17" s="609" t="s">
        <v>326</v>
      </c>
      <c r="I17" s="609"/>
      <c r="J17" s="609"/>
      <c r="K17" s="609"/>
      <c r="L17" s="810" t="str">
        <f>IF(F17="あり(任意入力)",IF(L19=0,"下記へ数値入力してください。",""),IF(L19=0,"下記への入力は不要です。","下記の数値を削除してください"))</f>
        <v>下記への入力は不要です。</v>
      </c>
      <c r="M17" s="810"/>
      <c r="N17" s="810"/>
      <c r="O17" s="811"/>
      <c r="P17" s="34"/>
      <c r="R17" s="554"/>
      <c r="S17" s="79" t="s">
        <v>15</v>
      </c>
      <c r="T17" s="832">
        <v>500</v>
      </c>
      <c r="U17" s="833"/>
      <c r="X17" s="112">
        <f t="shared" si="0"/>
        <v>610</v>
      </c>
      <c r="Y17" s="113"/>
      <c r="AA17" s="5"/>
    </row>
    <row r="18" spans="2:28" ht="18" customHeight="1">
      <c r="B18" s="633"/>
      <c r="C18" s="455"/>
      <c r="D18" s="544"/>
      <c r="E18" s="456"/>
      <c r="F18" s="794"/>
      <c r="G18" s="795"/>
      <c r="H18" s="611"/>
      <c r="I18" s="611"/>
      <c r="J18" s="611"/>
      <c r="K18" s="611"/>
      <c r="L18" s="501" t="s">
        <v>325</v>
      </c>
      <c r="M18" s="502"/>
      <c r="N18" s="502"/>
      <c r="O18" s="503"/>
      <c r="P18" s="33"/>
      <c r="R18" s="512"/>
      <c r="S18" s="83" t="s">
        <v>315</v>
      </c>
      <c r="T18" s="838">
        <v>350</v>
      </c>
      <c r="U18" s="839"/>
      <c r="X18" s="112">
        <f t="shared" si="0"/>
        <v>430</v>
      </c>
      <c r="Y18" s="113"/>
      <c r="AA18" s="5"/>
    </row>
    <row r="19" spans="2:28" ht="18" customHeight="1">
      <c r="B19" s="633"/>
      <c r="C19" s="545"/>
      <c r="D19" s="546"/>
      <c r="E19" s="547"/>
      <c r="F19" s="808"/>
      <c r="G19" s="809"/>
      <c r="H19" s="613"/>
      <c r="I19" s="613"/>
      <c r="J19" s="613"/>
      <c r="K19" s="613"/>
      <c r="L19" s="812"/>
      <c r="M19" s="813"/>
      <c r="N19" s="813"/>
      <c r="O19" s="814"/>
      <c r="P19" s="67"/>
      <c r="R19" s="834" t="s">
        <v>20</v>
      </c>
      <c r="S19" s="99" t="s">
        <v>165</v>
      </c>
      <c r="T19" s="775">
        <v>70</v>
      </c>
      <c r="U19" s="776"/>
      <c r="X19" s="112">
        <f t="shared" si="0"/>
        <v>90</v>
      </c>
      <c r="Y19" s="113"/>
      <c r="AA19" s="5"/>
    </row>
    <row r="20" spans="2:28" ht="18" customHeight="1">
      <c r="B20" s="633"/>
      <c r="C20" s="462" t="s">
        <v>291</v>
      </c>
      <c r="D20" s="626"/>
      <c r="E20" s="626"/>
      <c r="F20" s="792" t="s">
        <v>164</v>
      </c>
      <c r="G20" s="793"/>
      <c r="H20" s="609" t="s">
        <v>295</v>
      </c>
      <c r="I20" s="609"/>
      <c r="J20" s="609"/>
      <c r="K20" s="609"/>
      <c r="L20" s="519" t="str">
        <f>IF(F20="任意入力",IF(L22*N22=0,"下記へ数値入力してください。",""),IF(L22+N22=0,"下記への入力は不要です。","下記の数値を削除してください"))</f>
        <v>下記への入力は不要です。</v>
      </c>
      <c r="M20" s="519"/>
      <c r="N20" s="519"/>
      <c r="O20" s="520"/>
      <c r="P20" s="68"/>
      <c r="R20" s="835"/>
      <c r="S20" s="83" t="s">
        <v>157</v>
      </c>
      <c r="T20" s="836">
        <f>ROUNDUP(L25*N25*9.8/1000+L26*N26*9.8/1000,-1)</f>
        <v>0</v>
      </c>
      <c r="U20" s="837"/>
      <c r="V20" s="5" t="s">
        <v>167</v>
      </c>
      <c r="X20" s="112">
        <f t="shared" si="0"/>
        <v>0</v>
      </c>
      <c r="Y20" s="113"/>
      <c r="AA20" s="5"/>
    </row>
    <row r="21" spans="2:28" ht="18" customHeight="1" thickBot="1">
      <c r="B21" s="633"/>
      <c r="C21" s="464"/>
      <c r="D21" s="627"/>
      <c r="E21" s="627"/>
      <c r="F21" s="794"/>
      <c r="G21" s="795"/>
      <c r="H21" s="611"/>
      <c r="I21" s="611"/>
      <c r="J21" s="611"/>
      <c r="K21" s="611"/>
      <c r="L21" s="856" t="s">
        <v>169</v>
      </c>
      <c r="M21" s="800"/>
      <c r="N21" s="800" t="s">
        <v>168</v>
      </c>
      <c r="O21" s="801"/>
      <c r="P21" s="55"/>
      <c r="R21" s="116" t="s">
        <v>21</v>
      </c>
      <c r="S21" s="117" t="s">
        <v>22</v>
      </c>
      <c r="T21" s="857">
        <v>400</v>
      </c>
      <c r="U21" s="858"/>
      <c r="X21" s="118">
        <f>ROUNDUP(T21*((6*$F$12*2+16.5*$F$12*2)*0.09/(6*16.5)),-1)</f>
        <v>50</v>
      </c>
      <c r="Y21" s="119"/>
      <c r="AA21" s="5"/>
    </row>
    <row r="22" spans="2:28" ht="18" customHeight="1">
      <c r="B22" s="633"/>
      <c r="C22" s="628"/>
      <c r="D22" s="629"/>
      <c r="E22" s="629"/>
      <c r="F22" s="808"/>
      <c r="G22" s="809"/>
      <c r="H22" s="613"/>
      <c r="I22" s="613"/>
      <c r="J22" s="613"/>
      <c r="K22" s="613"/>
      <c r="L22" s="802"/>
      <c r="M22" s="803"/>
      <c r="N22" s="798"/>
      <c r="O22" s="799"/>
      <c r="P22" s="67"/>
      <c r="R22" s="120"/>
      <c r="S22" s="121"/>
      <c r="T22" s="854" t="s">
        <v>33</v>
      </c>
      <c r="U22" s="855"/>
      <c r="V22" s="2"/>
      <c r="AA22" s="5"/>
    </row>
    <row r="23" spans="2:28" ht="18" customHeight="1" thickBot="1">
      <c r="B23" s="633"/>
      <c r="C23" s="464" t="s">
        <v>292</v>
      </c>
      <c r="D23" s="627"/>
      <c r="E23" s="627"/>
      <c r="F23" s="792" t="s">
        <v>165</v>
      </c>
      <c r="G23" s="793"/>
      <c r="H23" s="609" t="s">
        <v>588</v>
      </c>
      <c r="I23" s="609"/>
      <c r="J23" s="609"/>
      <c r="K23" s="609"/>
      <c r="L23" s="865" t="str">
        <f>IF(F23="任意入力",IF(L25*N25+L26*N26=0,"下記へ数値入力してください。",""),IF(L25+L26+N25+N26=0,"下記への入力は不要です。","下記の数値を削除してください"))</f>
        <v>下記への入力は不要です。</v>
      </c>
      <c r="M23" s="865"/>
      <c r="N23" s="865"/>
      <c r="O23" s="866"/>
      <c r="P23" s="68"/>
      <c r="R23" s="122" t="s">
        <v>16</v>
      </c>
      <c r="S23" s="123" t="s">
        <v>32</v>
      </c>
      <c r="T23" s="873">
        <v>200</v>
      </c>
      <c r="U23" s="874"/>
      <c r="X23" s="11"/>
      <c r="Y23" s="11"/>
      <c r="AA23" s="5"/>
    </row>
    <row r="24" spans="2:28" ht="18" customHeight="1" thickBot="1">
      <c r="B24" s="633"/>
      <c r="C24" s="464"/>
      <c r="D24" s="627"/>
      <c r="E24" s="627"/>
      <c r="F24" s="794"/>
      <c r="G24" s="795"/>
      <c r="H24" s="611"/>
      <c r="I24" s="611"/>
      <c r="J24" s="611"/>
      <c r="K24" s="611"/>
      <c r="L24" s="856" t="s">
        <v>169</v>
      </c>
      <c r="M24" s="800"/>
      <c r="N24" s="800" t="s">
        <v>168</v>
      </c>
      <c r="O24" s="801"/>
      <c r="P24" s="55"/>
      <c r="R24" s="76"/>
      <c r="S24"/>
      <c r="T24" s="76"/>
      <c r="U24" s="76"/>
      <c r="X24" s="11"/>
      <c r="Y24" s="11"/>
      <c r="AA24" s="5"/>
    </row>
    <row r="25" spans="2:28" ht="18" customHeight="1" thickBot="1">
      <c r="B25" s="633"/>
      <c r="C25" s="464"/>
      <c r="D25" s="627"/>
      <c r="E25" s="627"/>
      <c r="F25" s="794"/>
      <c r="G25" s="795"/>
      <c r="H25" s="611"/>
      <c r="I25" s="611"/>
      <c r="J25" s="611"/>
      <c r="K25" s="611"/>
      <c r="L25" s="867"/>
      <c r="M25" s="868"/>
      <c r="N25" s="869"/>
      <c r="O25" s="870"/>
      <c r="P25" s="55"/>
      <c r="Q25" s="55"/>
      <c r="R25" s="125"/>
      <c r="S25" s="126"/>
      <c r="T25" s="823" t="s">
        <v>318</v>
      </c>
      <c r="U25" s="824"/>
      <c r="V25" s="823" t="s">
        <v>319</v>
      </c>
      <c r="W25" s="824"/>
      <c r="X25" s="11"/>
      <c r="AA25" s="5"/>
      <c r="AB25" s="5"/>
    </row>
    <row r="26" spans="2:28" ht="18" customHeight="1" thickBot="1">
      <c r="B26" s="588"/>
      <c r="C26" s="466"/>
      <c r="D26" s="638"/>
      <c r="E26" s="638"/>
      <c r="F26" s="796"/>
      <c r="G26" s="797"/>
      <c r="H26" s="641"/>
      <c r="I26" s="641"/>
      <c r="J26" s="641"/>
      <c r="K26" s="641"/>
      <c r="L26" s="871"/>
      <c r="M26" s="872"/>
      <c r="N26" s="863"/>
      <c r="O26" s="864"/>
      <c r="P26" s="24"/>
      <c r="Q26" s="29"/>
      <c r="R26" s="127" t="s">
        <v>161</v>
      </c>
      <c r="S26" s="128" t="s">
        <v>240</v>
      </c>
      <c r="T26" s="129">
        <f>((VLOOKUP($F15,S5:U7,2,FALSE)+VLOOKUP($F$17,S2:U4,2,FALSE))+VLOOKUP($F$20,S8:U9,2,FALSE))/1000</f>
        <v>1.1000000000000001</v>
      </c>
      <c r="U26" s="130" t="s">
        <v>182</v>
      </c>
      <c r="V26" s="129">
        <f>((VLOOKUP($F15,S5:U7,2,FALSE)+VLOOKUP($F$17,S2:U4,2,FALSE))+VLOOKUP($F$20,S8:U9,2,FALSE))/1000</f>
        <v>1.1000000000000001</v>
      </c>
      <c r="W26" s="130" t="s">
        <v>182</v>
      </c>
      <c r="Y26" s="722" t="s">
        <v>410</v>
      </c>
      <c r="Z26" s="722"/>
      <c r="AA26" s="5"/>
    </row>
    <row r="27" spans="2:28" ht="20.100000000000001" customHeight="1">
      <c r="B27" s="7" t="s">
        <v>389</v>
      </c>
      <c r="C27" s="4"/>
      <c r="D27" s="4"/>
      <c r="E27" s="4"/>
      <c r="F27" s="135" t="s">
        <v>390</v>
      </c>
      <c r="H27" s="114"/>
      <c r="I27" s="114"/>
      <c r="J27" s="114"/>
      <c r="K27" s="114"/>
      <c r="L27" s="115"/>
      <c r="M27" s="115"/>
      <c r="N27" s="124"/>
      <c r="O27" s="124"/>
      <c r="P27" s="21"/>
      <c r="Q27" s="28"/>
      <c r="R27" s="131" t="s">
        <v>162</v>
      </c>
      <c r="S27" s="132" t="s">
        <v>241</v>
      </c>
      <c r="T27" s="133">
        <f>((VLOOKUP($F16,S14:Y18,6,FALSE)+$T$23*$F$12/2.8+VLOOKUP($F23,S19:Y20,6,FALSE)+$X$21))/1000</f>
        <v>1.08</v>
      </c>
      <c r="U27" s="134" t="s">
        <v>181</v>
      </c>
      <c r="V27" s="133">
        <f>((VLOOKUP($F16,S14:Y18,6,FALSE)+$T$23*$F$12/2.8+VLOOKUP($F23,S19:Y20,6,FALSE)+$X$21))/1000</f>
        <v>1.08</v>
      </c>
      <c r="W27" s="134" t="s">
        <v>181</v>
      </c>
      <c r="X27" s="11"/>
      <c r="Y27" s="87" t="s">
        <v>411</v>
      </c>
      <c r="Z27" s="87"/>
      <c r="AA27" s="5"/>
    </row>
    <row r="28" spans="2:28" ht="18" customHeight="1" thickBot="1">
      <c r="B28" s="7" t="s">
        <v>392</v>
      </c>
      <c r="C28" s="73"/>
      <c r="D28" s="73"/>
      <c r="E28" s="73"/>
      <c r="F28" s="139"/>
      <c r="G28" s="139"/>
      <c r="H28" s="114"/>
      <c r="I28" s="114"/>
      <c r="J28" s="114"/>
      <c r="K28" s="114"/>
      <c r="L28" s="115"/>
      <c r="M28" s="115"/>
      <c r="N28" s="124"/>
      <c r="O28" s="124"/>
      <c r="P28" s="21"/>
      <c r="Q28" s="55"/>
      <c r="R28" s="859" t="s">
        <v>179</v>
      </c>
      <c r="S28" s="860"/>
      <c r="T28" s="148">
        <f>T26+T27*0.5</f>
        <v>1.6400000000000001</v>
      </c>
      <c r="U28" s="149" t="s">
        <v>181</v>
      </c>
      <c r="V28" s="148">
        <f>V26+V27*0.5</f>
        <v>1.6400000000000001</v>
      </c>
      <c r="W28" s="149" t="s">
        <v>181</v>
      </c>
      <c r="X28" s="11"/>
      <c r="Y28" s="87">
        <f>IFERROR(ROUNDUP(((1+(1/SQRT(T28/T28)-T28/T28)*2*0.03*(0.9+$F$12+0.5)/(1+3*0.03*(0.9+F$12+0.5)))*$F$13*$Y$5*$Y$6)/0.0196*T28,0),"")</f>
        <v>17</v>
      </c>
      <c r="Z28" s="87"/>
      <c r="AA28" s="5"/>
    </row>
    <row r="29" spans="2:28" ht="18" customHeight="1" thickBot="1">
      <c r="B29" s="336"/>
      <c r="C29" s="337" t="s">
        <v>8</v>
      </c>
      <c r="D29" s="337"/>
      <c r="E29" s="337"/>
      <c r="G29" s="338"/>
      <c r="I29" s="339"/>
      <c r="J29" s="340"/>
      <c r="K29" s="340"/>
      <c r="L29" s="340"/>
      <c r="M29" s="340"/>
      <c r="N29" s="140"/>
      <c r="O29" s="140"/>
      <c r="P29" s="21"/>
      <c r="Q29" s="55"/>
      <c r="R29" s="80"/>
      <c r="S29" s="80"/>
      <c r="T29" s="151"/>
      <c r="U29" s="7"/>
      <c r="X29" s="11"/>
      <c r="Y29" s="11"/>
      <c r="AA29" s="5"/>
    </row>
    <row r="30" spans="2:28" ht="18" customHeight="1">
      <c r="B30" s="587" t="s">
        <v>36</v>
      </c>
      <c r="C30" s="589" t="s">
        <v>300</v>
      </c>
      <c r="D30" s="590"/>
      <c r="E30" s="591"/>
      <c r="F30" s="882" t="s">
        <v>25</v>
      </c>
      <c r="G30" s="883"/>
      <c r="H30" s="884"/>
      <c r="I30" s="884"/>
      <c r="J30" s="139"/>
      <c r="K30" s="139"/>
      <c r="L30" s="139"/>
      <c r="M30" s="139"/>
      <c r="P30" s="21"/>
      <c r="Q30" s="55"/>
      <c r="R30" s="80"/>
      <c r="S30" s="80"/>
      <c r="T30" s="151"/>
      <c r="U30" s="7"/>
      <c r="X30" s="11"/>
      <c r="Y30" s="11"/>
      <c r="AA30" s="5"/>
    </row>
    <row r="31" spans="2:28" ht="18" customHeight="1" thickBot="1">
      <c r="B31" s="588"/>
      <c r="C31" s="592"/>
      <c r="D31" s="593"/>
      <c r="E31" s="594"/>
      <c r="F31" s="598">
        <f>IF(L17="下記へ数値入力してください。","",IF(L20="下記へ数値入力してください。","",IF(L23="下記へ数値入力してください。","",Y28)))</f>
        <v>17</v>
      </c>
      <c r="G31" s="600"/>
      <c r="H31" s="876"/>
      <c r="I31" s="876"/>
      <c r="J31" s="147"/>
      <c r="K31" s="147"/>
      <c r="L31" s="147"/>
      <c r="M31" s="147"/>
      <c r="P31" s="21"/>
      <c r="Q31" s="55"/>
      <c r="R31" s="80"/>
      <c r="S31" s="80"/>
      <c r="T31" s="151"/>
      <c r="U31" s="7"/>
      <c r="X31" s="11"/>
      <c r="Y31" s="11"/>
      <c r="AA31" s="5"/>
    </row>
    <row r="32" spans="2:28" ht="18" customHeight="1">
      <c r="B32" s="150"/>
      <c r="C32" s="10"/>
      <c r="D32" s="10"/>
      <c r="E32" s="10"/>
      <c r="F32" s="147"/>
      <c r="G32" s="147"/>
      <c r="H32" s="147"/>
      <c r="I32" s="147"/>
      <c r="J32" s="147"/>
      <c r="K32" s="147"/>
      <c r="L32" s="147"/>
      <c r="M32" s="147"/>
      <c r="P32" s="22"/>
      <c r="Q32" s="24"/>
      <c r="R32" s="80"/>
      <c r="S32" s="80"/>
      <c r="T32" s="151"/>
      <c r="U32" s="7"/>
      <c r="X32" s="11"/>
      <c r="Y32" s="11"/>
      <c r="AA32" s="5"/>
    </row>
    <row r="33" spans="1:35" ht="18" customHeight="1">
      <c r="A33" s="96" t="s">
        <v>349</v>
      </c>
      <c r="B33" s="97"/>
      <c r="C33" s="8"/>
      <c r="D33" s="8"/>
      <c r="E33" s="8"/>
      <c r="F33" s="98"/>
      <c r="G33" s="98"/>
      <c r="H33" s="8"/>
      <c r="I33" s="98"/>
      <c r="J33" s="98"/>
      <c r="K33" s="98"/>
      <c r="L33" s="98"/>
      <c r="M33" s="98"/>
      <c r="N33" s="9"/>
      <c r="O33" s="9"/>
      <c r="P33" s="22"/>
      <c r="Q33" s="24"/>
      <c r="R33" s="80"/>
      <c r="S33" s="80"/>
      <c r="T33" s="151"/>
      <c r="U33" s="7"/>
      <c r="X33" s="11"/>
      <c r="Y33" s="11"/>
      <c r="AA33" s="5"/>
    </row>
    <row r="34" spans="1:35" ht="18" customHeight="1">
      <c r="A34" s="97" t="s">
        <v>427</v>
      </c>
      <c r="B34" s="97"/>
      <c r="C34" s="8"/>
      <c r="D34" s="8"/>
      <c r="E34" s="8"/>
      <c r="F34" s="98"/>
      <c r="G34" s="98"/>
      <c r="H34" s="8"/>
      <c r="I34" s="98"/>
      <c r="J34" s="98"/>
      <c r="K34" s="98"/>
      <c r="L34" s="98"/>
      <c r="M34" s="98"/>
      <c r="N34" s="9"/>
      <c r="O34" s="9"/>
      <c r="P34" s="22"/>
      <c r="Q34" s="21"/>
      <c r="R34" s="80"/>
      <c r="S34" s="80"/>
      <c r="T34" s="151"/>
      <c r="U34" s="7"/>
      <c r="X34" s="11"/>
      <c r="Y34" s="11"/>
      <c r="AA34" s="5"/>
    </row>
    <row r="35" spans="1:35" ht="18" customHeight="1">
      <c r="A35" s="94" t="s">
        <v>428</v>
      </c>
      <c r="B35" s="97"/>
      <c r="C35" s="8"/>
      <c r="D35" s="8"/>
      <c r="E35" s="8"/>
      <c r="F35" s="98"/>
      <c r="G35" s="98"/>
      <c r="H35" s="8"/>
      <c r="I35" s="98"/>
      <c r="J35" s="98"/>
      <c r="K35" s="98"/>
      <c r="L35" s="98"/>
      <c r="M35" s="98"/>
      <c r="N35" s="9"/>
      <c r="O35" s="9"/>
      <c r="P35" s="20"/>
      <c r="Q35" s="21"/>
      <c r="R35" s="152"/>
      <c r="S35" s="140"/>
      <c r="T35" s="140"/>
      <c r="Y35" s="11"/>
      <c r="AA35" s="5"/>
    </row>
    <row r="36" spans="1:35" ht="18" customHeight="1" thickBot="1">
      <c r="F36"/>
      <c r="G36"/>
      <c r="H36" s="4"/>
      <c r="I36" s="4"/>
      <c r="J36" s="4"/>
      <c r="K36" s="4"/>
      <c r="L36" s="4"/>
      <c r="M36" s="4"/>
      <c r="N36" s="4"/>
      <c r="O36" s="4"/>
      <c r="P36" s="20"/>
      <c r="Q36" s="20" t="b">
        <v>0</v>
      </c>
      <c r="R36" s="80"/>
      <c r="S36" s="80"/>
      <c r="T36" s="7"/>
      <c r="U36" s="7"/>
      <c r="Y36" s="11"/>
      <c r="Z36" s="11"/>
      <c r="AA36" s="5"/>
      <c r="AB36" s="5"/>
      <c r="AC36" s="5"/>
    </row>
    <row r="37" spans="1:35" ht="18" customHeight="1">
      <c r="B37" s="92" t="s">
        <v>350</v>
      </c>
      <c r="C37" s="7"/>
      <c r="F37"/>
      <c r="G37"/>
      <c r="I37" s="4"/>
      <c r="J37" s="4"/>
      <c r="K37" s="4"/>
      <c r="L37" s="4"/>
      <c r="M37" s="4"/>
      <c r="N37" s="4"/>
      <c r="O37" s="4"/>
      <c r="P37" s="20"/>
      <c r="Q37" s="33"/>
      <c r="R37" s="671" t="s">
        <v>208</v>
      </c>
      <c r="S37" s="672"/>
      <c r="T37" s="675" t="s">
        <v>205</v>
      </c>
      <c r="U37" s="677" t="s">
        <v>206</v>
      </c>
      <c r="V37" s="819" t="s">
        <v>320</v>
      </c>
      <c r="W37" s="433" t="s">
        <v>82</v>
      </c>
      <c r="X37" s="731" t="s">
        <v>207</v>
      </c>
      <c r="Y37" s="11"/>
      <c r="Z37" s="11"/>
      <c r="AA37" s="5"/>
      <c r="AB37" s="5"/>
      <c r="AC37" s="5"/>
    </row>
    <row r="38" spans="1:35" ht="18" customHeight="1" thickBot="1">
      <c r="B38" s="92" t="s">
        <v>399</v>
      </c>
      <c r="C38" s="7"/>
      <c r="F38"/>
      <c r="G38" s="153" t="s">
        <v>390</v>
      </c>
      <c r="I38" s="4"/>
      <c r="J38" s="4"/>
      <c r="K38" s="4"/>
      <c r="L38" s="4"/>
      <c r="M38" s="4"/>
      <c r="N38" s="4"/>
      <c r="O38" s="4"/>
      <c r="P38" s="33"/>
      <c r="Q38" s="33"/>
      <c r="R38" s="673"/>
      <c r="S38" s="674"/>
      <c r="T38" s="676"/>
      <c r="U38" s="678"/>
      <c r="V38" s="820"/>
      <c r="W38" s="434"/>
      <c r="X38" s="732"/>
      <c r="Y38" s="11"/>
      <c r="Z38" s="11"/>
      <c r="AA38" s="5"/>
      <c r="AB38" s="5"/>
      <c r="AC38" s="5"/>
      <c r="AD38" s="5"/>
      <c r="AE38" s="5"/>
      <c r="AF38" s="5"/>
    </row>
    <row r="39" spans="1:35" ht="18" customHeight="1" thickBot="1">
      <c r="A39" s="106"/>
      <c r="B39" s="657" t="s">
        <v>293</v>
      </c>
      <c r="C39" s="658"/>
      <c r="D39" s="459" t="s">
        <v>218</v>
      </c>
      <c r="E39" s="460"/>
      <c r="F39" s="461"/>
      <c r="G39" s="76"/>
      <c r="H39" s="76"/>
      <c r="I39" s="76"/>
      <c r="J39" s="76"/>
      <c r="K39" s="76"/>
      <c r="L39" s="160"/>
      <c r="M39" s="160"/>
      <c r="N39" s="160"/>
      <c r="O39" s="160"/>
      <c r="P39" s="33"/>
      <c r="Q39" s="31"/>
      <c r="R39" s="861" t="s">
        <v>25</v>
      </c>
      <c r="S39" s="862"/>
      <c r="T39" s="154">
        <f>V26+0.5*V27</f>
        <v>1.6400000000000001</v>
      </c>
      <c r="U39" s="268">
        <f>V26+0.5*($T$23*$F$12/2.8)/1000</f>
        <v>1.2050000000000001</v>
      </c>
      <c r="V39" s="157">
        <f>$F$12*1000-105</f>
        <v>2835</v>
      </c>
      <c r="W39" s="166" t="str">
        <f>IF($Q$36=TRUE,17.7,"")</f>
        <v/>
      </c>
      <c r="X39" s="269">
        <v>5</v>
      </c>
      <c r="Y39" s="11"/>
      <c r="Z39" s="11"/>
      <c r="AA39" s="11"/>
      <c r="AB39" s="5"/>
      <c r="AC39" s="5"/>
      <c r="AE39" s="5"/>
      <c r="AG39" s="5"/>
    </row>
    <row r="40" spans="1:35" ht="18" customHeight="1" thickBot="1">
      <c r="B40" s="464"/>
      <c r="C40" s="474"/>
      <c r="D40" s="661" t="s">
        <v>506</v>
      </c>
      <c r="E40" s="663" t="s">
        <v>505</v>
      </c>
      <c r="F40" s="664"/>
      <c r="G40" s="341"/>
      <c r="H40" s="341"/>
      <c r="I40" s="341"/>
      <c r="J40" s="341"/>
      <c r="K40" s="341"/>
      <c r="L40" s="160"/>
      <c r="M40" s="160"/>
      <c r="N40" s="160"/>
      <c r="O40" s="160"/>
      <c r="P40" s="33"/>
      <c r="Q40" s="31"/>
      <c r="R40" s="160"/>
      <c r="S40" s="4"/>
      <c r="T40" s="168"/>
      <c r="U40" s="80"/>
      <c r="V40" s="80"/>
      <c r="W40" s="169"/>
      <c r="X40" s="170"/>
      <c r="AA40" s="11"/>
      <c r="AB40" s="5"/>
      <c r="AC40" s="5"/>
      <c r="AD40" s="5"/>
      <c r="AE40" s="5"/>
    </row>
    <row r="41" spans="1:35" ht="18" customHeight="1" thickBot="1">
      <c r="B41" s="466"/>
      <c r="C41" s="476"/>
      <c r="D41" s="662"/>
      <c r="E41" s="665"/>
      <c r="F41" s="666"/>
      <c r="G41" s="341"/>
      <c r="H41" s="341"/>
      <c r="I41" s="341"/>
      <c r="J41" s="341"/>
      <c r="K41" s="341"/>
      <c r="L41" s="160"/>
      <c r="M41" s="160"/>
      <c r="N41" s="160"/>
      <c r="O41" s="160"/>
      <c r="P41" s="31"/>
      <c r="Q41" s="31"/>
      <c r="R41" s="171"/>
      <c r="S41" s="172" t="s">
        <v>210</v>
      </c>
      <c r="T41" s="173" t="s">
        <v>209</v>
      </c>
      <c r="U41" s="174" t="s">
        <v>211</v>
      </c>
      <c r="V41" s="174" t="s">
        <v>298</v>
      </c>
      <c r="W41" s="174" t="s">
        <v>297</v>
      </c>
      <c r="X41" s="175" t="s">
        <v>289</v>
      </c>
      <c r="AA41" s="5"/>
      <c r="AB41" s="5"/>
      <c r="AC41" s="5"/>
      <c r="AD41" s="5"/>
      <c r="AE41" s="5"/>
      <c r="AF41" s="5"/>
    </row>
    <row r="42" spans="1:35" ht="18" customHeight="1" thickBot="1">
      <c r="B42" s="483" t="s">
        <v>25</v>
      </c>
      <c r="C42" s="484"/>
      <c r="D42" s="184" t="str">
        <f>IFERROR(IF($Q$36=TRUE,"１/"&amp;ROUNDDOWN((F12*1000-120)/E42,1),""),"")</f>
        <v/>
      </c>
      <c r="E42" s="737" t="str">
        <f>IF($Q$36=TRUE,IF(V42="","",MAX(V42:W42)),"")</f>
        <v/>
      </c>
      <c r="F42" s="738"/>
      <c r="G42" s="267"/>
      <c r="H42" s="267"/>
      <c r="I42" s="267"/>
      <c r="J42" s="267"/>
      <c r="K42" s="267"/>
      <c r="L42" s="168"/>
      <c r="M42" s="168"/>
      <c r="N42" s="168"/>
      <c r="O42" s="168"/>
      <c r="P42" s="59"/>
      <c r="Q42" s="31"/>
      <c r="R42" s="185" t="s">
        <v>212</v>
      </c>
      <c r="S42" s="186">
        <f>$V$39/52.7</f>
        <v>53.795066413662234</v>
      </c>
      <c r="T42" s="187">
        <f>$V$39/8.66</f>
        <v>327.36720554272517</v>
      </c>
      <c r="U42" s="188" t="e">
        <f>SQRT($T$39*$X$39/(1.1/3*W39)*1000)</f>
        <v>#VALUE!</v>
      </c>
      <c r="V42" s="188" t="str">
        <f>IFERROR(ROUNDUP(IF(S42&gt;U42,(12*($V$39)^2/3000*U42^2)^(1/4),IF(T42&lt;U42,U42,$V$39/75.05+SQRT(($V$39/75.05)^2+U42^2/1.3))),0),"")</f>
        <v/>
      </c>
      <c r="W42" s="188">
        <f>ROUNDUP(SQRT(12)*$V$39/150,0)</f>
        <v>66</v>
      </c>
      <c r="X42" s="189" t="e">
        <f>IF(#REF!="JAS機械等級区分構造用製材","機械",IF(#REF!="JAS目視等級区分構造用製材", "目視",IF(#REF!="無等級材","無等級",IF(#REF!="JAS同一等級構成集成材","集成材","LVL"))))</f>
        <v>#REF!</v>
      </c>
      <c r="AA42" s="11"/>
      <c r="AB42" s="5"/>
      <c r="AC42" s="5"/>
      <c r="AD42" s="5"/>
      <c r="AE42" s="5"/>
    </row>
    <row r="43" spans="1:35" ht="18" customHeight="1">
      <c r="B43" s="190" t="s">
        <v>507</v>
      </c>
      <c r="C43" s="190"/>
      <c r="D43" s="190"/>
      <c r="E43" s="190"/>
      <c r="F43" s="190"/>
      <c r="G43" s="190"/>
      <c r="H43" s="190"/>
      <c r="I43" s="190"/>
      <c r="J43" s="190"/>
      <c r="K43" s="190"/>
      <c r="L43" s="190"/>
      <c r="M43" s="190"/>
      <c r="N43" s="190"/>
      <c r="O43" s="190"/>
      <c r="P43" s="31"/>
      <c r="Q43" s="31"/>
      <c r="R43" s="7"/>
      <c r="S43" s="7"/>
      <c r="T43" s="7"/>
      <c r="U43" s="7"/>
      <c r="V43" s="7"/>
      <c r="W43" s="7"/>
      <c r="X43" s="11"/>
      <c r="AA43" s="11"/>
      <c r="AB43" s="5"/>
      <c r="AC43" s="5"/>
      <c r="AD43" s="11"/>
      <c r="AE43" s="5"/>
    </row>
    <row r="44" spans="1:35" ht="18" customHeight="1">
      <c r="A44" s="7"/>
      <c r="B44" s="881" t="s">
        <v>496</v>
      </c>
      <c r="C44" s="881"/>
      <c r="D44" s="881"/>
      <c r="E44" s="881"/>
      <c r="F44" s="881"/>
      <c r="G44" s="881"/>
      <c r="H44" s="881"/>
      <c r="I44" s="881"/>
      <c r="J44" s="881"/>
      <c r="K44" s="881"/>
      <c r="L44" s="881"/>
      <c r="M44" s="697" t="s">
        <v>390</v>
      </c>
      <c r="N44" s="697"/>
      <c r="O44" s="100"/>
      <c r="P44" s="26"/>
      <c r="Q44" s="31"/>
      <c r="Y44" s="11"/>
      <c r="Z44" s="11"/>
      <c r="AA44" s="11"/>
      <c r="AB44" s="11"/>
      <c r="AC44" s="11"/>
      <c r="AD44" s="5"/>
      <c r="AE44" s="5"/>
      <c r="AG44" s="5"/>
    </row>
    <row r="45" spans="1:35" ht="18" customHeight="1">
      <c r="B45" s="192"/>
      <c r="C45" s="193"/>
      <c r="D45" s="193"/>
      <c r="E45" s="193"/>
      <c r="F45" s="193"/>
      <c r="G45" s="193"/>
      <c r="H45" s="193"/>
      <c r="I45" s="193"/>
      <c r="J45" s="193"/>
      <c r="K45" s="193"/>
      <c r="L45" s="193"/>
      <c r="M45" s="193"/>
      <c r="N45" s="193"/>
      <c r="O45" s="193"/>
      <c r="P45" s="61"/>
      <c r="Q45" s="20" t="b">
        <v>0</v>
      </c>
      <c r="Y45" s="11"/>
      <c r="Z45" s="11"/>
      <c r="AA45" s="11"/>
      <c r="AB45" s="11"/>
      <c r="AC45" s="11"/>
      <c r="AD45" s="5"/>
      <c r="AE45" s="5"/>
      <c r="AF45" s="5"/>
      <c r="AG45" s="5"/>
    </row>
    <row r="46" spans="1:35" ht="18" customHeight="1">
      <c r="B46" s="698" t="s">
        <v>351</v>
      </c>
      <c r="C46" s="698"/>
      <c r="D46" s="698"/>
      <c r="E46" s="698"/>
      <c r="F46" s="698"/>
      <c r="G46" s="698"/>
      <c r="H46" s="698"/>
      <c r="I46" s="698"/>
      <c r="J46" s="698"/>
      <c r="K46" s="698"/>
      <c r="L46" s="698"/>
      <c r="M46" s="698"/>
      <c r="N46" s="698"/>
      <c r="O46" s="698"/>
      <c r="P46" s="20"/>
      <c r="Q46" s="20"/>
      <c r="Y46" s="11"/>
      <c r="Z46" s="11"/>
      <c r="AA46" s="11"/>
      <c r="AB46" s="5"/>
      <c r="AC46" s="11"/>
      <c r="AD46" s="5"/>
      <c r="AE46" s="5"/>
      <c r="AF46" s="5"/>
    </row>
    <row r="47" spans="1:35" ht="18" customHeight="1">
      <c r="B47" s="92" t="s">
        <v>399</v>
      </c>
      <c r="C47" s="7"/>
      <c r="F47"/>
      <c r="G47" s="153" t="s">
        <v>390</v>
      </c>
      <c r="I47" s="4"/>
      <c r="J47" s="4"/>
      <c r="K47" s="4"/>
      <c r="L47" s="4"/>
      <c r="M47" s="4"/>
      <c r="N47" s="4"/>
      <c r="O47" s="4"/>
      <c r="P47" s="30"/>
      <c r="Q47" s="20"/>
      <c r="Y47" s="11"/>
      <c r="Z47" s="11"/>
      <c r="AA47" s="11"/>
      <c r="AB47" s="5"/>
      <c r="AC47" s="11"/>
      <c r="AD47" s="5"/>
      <c r="AF47" s="5"/>
    </row>
    <row r="48" spans="1:35" ht="20.100000000000001" customHeight="1" thickBot="1">
      <c r="A48" s="7"/>
      <c r="B48" s="487" t="s">
        <v>421</v>
      </c>
      <c r="C48" s="487"/>
      <c r="D48" s="487"/>
      <c r="E48" s="487"/>
      <c r="F48" s="487"/>
      <c r="G48" s="487"/>
      <c r="H48" s="487"/>
      <c r="I48" s="487"/>
      <c r="J48" s="487"/>
      <c r="K48" s="487"/>
      <c r="L48" s="487"/>
      <c r="M48" s="487"/>
      <c r="N48" s="487"/>
      <c r="O48" s="487"/>
      <c r="P48" s="23"/>
      <c r="Q48" s="33"/>
      <c r="Y48" s="11"/>
      <c r="Z48" s="11"/>
      <c r="AA48" s="5"/>
      <c r="AB48" s="5"/>
      <c r="AC48" s="5"/>
      <c r="AD48" s="5"/>
      <c r="AG48" s="7"/>
      <c r="AH48" s="7"/>
      <c r="AI48" s="7"/>
    </row>
    <row r="49" spans="1:34" ht="18" customHeight="1" thickBot="1">
      <c r="A49" s="106"/>
      <c r="B49" s="657" t="s">
        <v>277</v>
      </c>
      <c r="C49" s="658"/>
      <c r="D49" s="657" t="s">
        <v>219</v>
      </c>
      <c r="E49" s="739"/>
      <c r="F49" s="739"/>
      <c r="G49" s="739"/>
      <c r="H49" s="739"/>
      <c r="I49" s="739"/>
      <c r="J49" s="739"/>
      <c r="K49" s="739"/>
      <c r="L49" s="740" t="s">
        <v>218</v>
      </c>
      <c r="M49" s="741"/>
      <c r="N49" s="741"/>
      <c r="O49" s="742"/>
      <c r="P49" s="266"/>
      <c r="Q49" s="31"/>
      <c r="R49" s="195"/>
      <c r="S49" s="196" t="s">
        <v>210</v>
      </c>
      <c r="T49" s="197" t="s">
        <v>209</v>
      </c>
      <c r="U49" s="198" t="s">
        <v>211</v>
      </c>
      <c r="V49" s="199" t="s">
        <v>299</v>
      </c>
      <c r="W49" s="199" t="s">
        <v>297</v>
      </c>
      <c r="X49" s="175" t="s">
        <v>289</v>
      </c>
      <c r="Y49" s="11"/>
      <c r="Z49" s="11"/>
      <c r="AA49" s="5"/>
      <c r="AB49" s="5"/>
      <c r="AC49" s="5"/>
      <c r="AD49" s="5"/>
      <c r="AE49" s="7"/>
    </row>
    <row r="50" spans="1:34" ht="36" customHeight="1" thickBot="1">
      <c r="B50" s="466"/>
      <c r="C50" s="476"/>
      <c r="D50" s="483" t="s">
        <v>244</v>
      </c>
      <c r="E50" s="700"/>
      <c r="F50" s="701"/>
      <c r="G50" s="840" t="s">
        <v>245</v>
      </c>
      <c r="H50" s="840"/>
      <c r="I50" s="841" t="s">
        <v>276</v>
      </c>
      <c r="J50" s="841"/>
      <c r="K50" s="692"/>
      <c r="L50" s="842" t="s">
        <v>423</v>
      </c>
      <c r="M50" s="843"/>
      <c r="N50" s="843" t="s">
        <v>220</v>
      </c>
      <c r="O50" s="875"/>
      <c r="P50" s="271"/>
      <c r="Q50" s="31"/>
      <c r="R50" s="202" t="s">
        <v>212</v>
      </c>
      <c r="S50" s="203">
        <f>$V$39/52.7</f>
        <v>53.795066413662234</v>
      </c>
      <c r="T50" s="204">
        <f>$V$39/8.66</f>
        <v>327.36720554272517</v>
      </c>
      <c r="U50" s="204" t="e">
        <f>SQRT(T39*$X$39/(1.1/3*L51)*1000)</f>
        <v>#VALUE!</v>
      </c>
      <c r="V50" s="204" t="str">
        <f>IFERROR(ROUNDUP(IF(S50&gt;U50,(12*($V$39)^2/3000*U50^2)^(1/4),IF(T50&lt;U50,U50,$V$39/75.05+SQRT(($V$39/75.05)^2+U50^2/1.3))),0),"")</f>
        <v/>
      </c>
      <c r="W50" s="204">
        <f>ROUNDUP(SQRT(12)*$V$39/150,0)</f>
        <v>66</v>
      </c>
      <c r="X50" s="201" t="str">
        <f>IF(D51="JAS機械等級区分構造用製材","機械",IF(D51="JAS目視等級区分構造用製材", "目視",IF(D51="無等級材","無等級",IF(D51="JAS同一等級構成集成材","集成材","LVL"))))</f>
        <v>LVL</v>
      </c>
      <c r="AA50" s="11"/>
      <c r="AB50" s="5"/>
      <c r="AC50" s="5"/>
      <c r="AD50" s="7"/>
      <c r="AE50" s="7"/>
    </row>
    <row r="51" spans="1:34" ht="18" customHeight="1">
      <c r="B51" s="687" t="s">
        <v>25</v>
      </c>
      <c r="C51" s="201" t="s">
        <v>161</v>
      </c>
      <c r="D51" s="748"/>
      <c r="E51" s="749"/>
      <c r="F51" s="749"/>
      <c r="G51" s="750"/>
      <c r="H51" s="750"/>
      <c r="I51" s="749"/>
      <c r="J51" s="749"/>
      <c r="K51" s="751"/>
      <c r="L51" s="733" t="str">
        <f>IF($Q$45=TRUE,IFERROR(VLOOKUP(D51&amp;G51&amp;I51,柱の圧縮基準強度!$A$4:$F$187,6,0),"該当なし"),"")</f>
        <v/>
      </c>
      <c r="M51" s="734"/>
      <c r="N51" s="735" t="str">
        <f>IF($Q$45=TRUE,IF(V50="","",MAX(V50:W50)),"")</f>
        <v/>
      </c>
      <c r="O51" s="736"/>
      <c r="P51" s="271"/>
      <c r="Q51" s="31"/>
      <c r="R51" s="202" t="s">
        <v>213</v>
      </c>
      <c r="S51" s="203">
        <f>$V$39/52.7</f>
        <v>53.795066413662234</v>
      </c>
      <c r="T51" s="204">
        <f>$V$39/8.66</f>
        <v>327.36720554272517</v>
      </c>
      <c r="U51" s="204" t="e">
        <f>SQRT(T39*$X$39/(1.1/3*L52)*1000)</f>
        <v>#VALUE!</v>
      </c>
      <c r="V51" s="204" t="str">
        <f>IFERROR(ROUNDUP(IF(S51&gt;U51,(12*($V$39)^2/3000*U51^2)^(1/4),IF(T51&lt;U51,U51,$V$39/75.05+SQRT(($V$39/75.05)^2+U51^2/1.3))),0),"")</f>
        <v/>
      </c>
      <c r="W51" s="204">
        <f>ROUNDUP(SQRT(12)*$V$39/150,0)</f>
        <v>66</v>
      </c>
      <c r="X51" s="201" t="str">
        <f>IF(D52="JAS機械等級区分構造用製材","機械",IF(D52="JAS目視等級区分構造用製材", "目視",IF(D52="無等級材","無等級",IF(D52="JAS同一等級構成集成材","集成材","LVL"))))</f>
        <v>LVL</v>
      </c>
      <c r="AA51" s="11"/>
      <c r="AB51" s="5"/>
      <c r="AC51" s="5"/>
      <c r="AD51" s="7"/>
      <c r="AE51" s="7"/>
      <c r="AF51" s="7"/>
    </row>
    <row r="52" spans="1:34" ht="18" customHeight="1">
      <c r="B52" s="688"/>
      <c r="C52" s="201" t="s">
        <v>162</v>
      </c>
      <c r="D52" s="748"/>
      <c r="E52" s="749"/>
      <c r="F52" s="749"/>
      <c r="G52" s="750"/>
      <c r="H52" s="750"/>
      <c r="I52" s="749"/>
      <c r="J52" s="749"/>
      <c r="K52" s="751"/>
      <c r="L52" s="733" t="str">
        <f>IF($Q$45=TRUE,IFERROR(VLOOKUP(D52&amp;G52&amp;I52,柱の圧縮基準強度!$A$4:$F$187,6,0),"該当なし"),"")</f>
        <v/>
      </c>
      <c r="M52" s="734"/>
      <c r="N52" s="735" t="str">
        <f>IF($Q$45=TRUE,IF(V51="","",MAX(V51:W51)),"")</f>
        <v/>
      </c>
      <c r="O52" s="736"/>
      <c r="P52" s="271"/>
      <c r="Q52" s="31"/>
      <c r="R52" s="202" t="s">
        <v>216</v>
      </c>
      <c r="S52" s="203">
        <f>$V$39/52.7</f>
        <v>53.795066413662234</v>
      </c>
      <c r="T52" s="204">
        <f>$V$39/8.66</f>
        <v>327.36720554272517</v>
      </c>
      <c r="U52" s="204" t="e">
        <f>SQRT(T39*$X$39/(1.1/3*L53)*1000)</f>
        <v>#VALUE!</v>
      </c>
      <c r="V52" s="204" t="str">
        <f>IFERROR(ROUNDUP(IF(S52&gt;U52,(12*($V$39)^2/3000*U52^2)^(1/4),IF(T52&lt;U52,U52,$V$39/75.05+SQRT(($V$39/75.05)^2+U52^2/1.3))),0),"")</f>
        <v/>
      </c>
      <c r="W52" s="204">
        <f>ROUNDUP(SQRT(12)*$V$39/150,0)</f>
        <v>66</v>
      </c>
      <c r="X52" s="201" t="str">
        <f>IF(D53="JAS機械等級区分構造用製材","機械",IF(D53="JAS目視等級区分構造用製材", "目視",IF(D53="無等級材","無等級",IF(D53="JAS同一等級構成集成材","集成材","LVL"))))</f>
        <v>LVL</v>
      </c>
      <c r="AA52" s="11"/>
      <c r="AB52" s="5"/>
      <c r="AC52" s="7"/>
      <c r="AD52" s="7"/>
      <c r="AE52" s="5"/>
      <c r="AF52" s="7"/>
    </row>
    <row r="53" spans="1:34" ht="18" customHeight="1" thickBot="1">
      <c r="B53" s="688"/>
      <c r="C53" s="201" t="s">
        <v>170</v>
      </c>
      <c r="D53" s="748"/>
      <c r="E53" s="749"/>
      <c r="F53" s="749"/>
      <c r="G53" s="750"/>
      <c r="H53" s="750"/>
      <c r="I53" s="749"/>
      <c r="J53" s="749"/>
      <c r="K53" s="751"/>
      <c r="L53" s="733" t="str">
        <f>IF($Q$45=TRUE,IFERROR(VLOOKUP(D53&amp;G53&amp;I53,柱の圧縮基準強度!$A$4:$F$187,6,0),"該当なし"),"")</f>
        <v/>
      </c>
      <c r="M53" s="734"/>
      <c r="N53" s="877" t="str">
        <f>IF($Q$45=TRUE,IF(V52="","",MAX(V52:W52)),"")</f>
        <v/>
      </c>
      <c r="O53" s="878"/>
      <c r="P53" s="271"/>
      <c r="Q53" s="7"/>
      <c r="R53" s="207" t="s">
        <v>311</v>
      </c>
      <c r="S53" s="208">
        <f>$V$39/52.7</f>
        <v>53.795066413662234</v>
      </c>
      <c r="T53" s="209">
        <f>$V$39/8.66</f>
        <v>327.36720554272517</v>
      </c>
      <c r="U53" s="209" t="e">
        <f>SQRT(T39*$X$39/(1.1/3*L54)*1000)</f>
        <v>#DIV/0!</v>
      </c>
      <c r="V53" s="209" t="str">
        <f>IFERROR(ROUNDUP(IF(S53&gt;U53,(12*($V$39)^2/3000*U53^2)^(1/4),IF(T53&lt;U53,U53,$V$39/75.05+SQRT(($V$39/75.05)^2+U53^2/1.3))),0),"")</f>
        <v/>
      </c>
      <c r="W53" s="209">
        <f>ROUNDUP(SQRT(12)*$V$39/150,0)</f>
        <v>66</v>
      </c>
      <c r="X53" s="206"/>
      <c r="AA53" s="11"/>
      <c r="AB53" s="5"/>
      <c r="AC53" s="7"/>
      <c r="AD53" s="7"/>
      <c r="AE53" s="5"/>
      <c r="AF53" s="7"/>
    </row>
    <row r="54" spans="1:34" s="7" customFormat="1" ht="18" customHeight="1" thickBot="1">
      <c r="A54"/>
      <c r="B54" s="689"/>
      <c r="C54" s="189" t="s">
        <v>171</v>
      </c>
      <c r="D54" s="702" t="s">
        <v>500</v>
      </c>
      <c r="E54" s="703"/>
      <c r="F54" s="703"/>
      <c r="G54" s="703"/>
      <c r="H54" s="704"/>
      <c r="I54" s="426" t="s">
        <v>323</v>
      </c>
      <c r="J54" s="427"/>
      <c r="K54" s="428"/>
      <c r="L54" s="879"/>
      <c r="M54" s="880"/>
      <c r="N54" s="729" t="str">
        <f>IF($Q$45=TRUE,IF(V53="","",MAX(V53:W53)),"")</f>
        <v/>
      </c>
      <c r="O54" s="730"/>
      <c r="P54" s="26"/>
      <c r="Q54" s="20"/>
      <c r="X54" s="11"/>
      <c r="Y54" s="5"/>
      <c r="Z54" s="5"/>
      <c r="AA54" s="11"/>
      <c r="AB54" s="5"/>
      <c r="AC54" s="5"/>
      <c r="AE54"/>
      <c r="AG54"/>
      <c r="AH54"/>
    </row>
    <row r="55" spans="1:34" s="7" customFormat="1" ht="18" customHeight="1" thickBot="1">
      <c r="A55"/>
      <c r="B55" s="192"/>
      <c r="C55" s="193"/>
      <c r="D55" s="193"/>
      <c r="E55" s="193"/>
      <c r="F55" s="193"/>
      <c r="G55" s="193"/>
      <c r="H55" s="193"/>
      <c r="I55" s="193"/>
      <c r="J55" s="193"/>
      <c r="K55" s="193"/>
      <c r="L55" s="193"/>
      <c r="M55" s="193"/>
      <c r="N55" s="193"/>
      <c r="O55" s="193"/>
      <c r="P55" s="20"/>
      <c r="Q55" s="5"/>
      <c r="R55" s="210"/>
      <c r="S55" s="211"/>
      <c r="T55" s="212" t="s">
        <v>38</v>
      </c>
      <c r="U55" s="213" t="s">
        <v>39</v>
      </c>
      <c r="V55" s="213" t="s">
        <v>223</v>
      </c>
      <c r="W55" s="214" t="s">
        <v>227</v>
      </c>
      <c r="X55" s="5"/>
      <c r="Y55" s="11"/>
      <c r="Z55" s="5"/>
      <c r="AA55" s="11"/>
      <c r="AB55" s="5"/>
      <c r="AC55" s="5"/>
      <c r="AE55"/>
    </row>
    <row r="56" spans="1:34" s="7" customFormat="1" ht="18" customHeight="1">
      <c r="A56"/>
      <c r="B56" s="92" t="s">
        <v>352</v>
      </c>
      <c r="D56" s="76"/>
      <c r="E56" s="76"/>
      <c r="F56" s="76"/>
      <c r="G56" s="76"/>
      <c r="H56" s="76"/>
      <c r="I56" s="4"/>
      <c r="J56" s="4"/>
      <c r="K56" s="4"/>
      <c r="L56" s="4"/>
      <c r="M56" s="4"/>
      <c r="N56" s="4"/>
      <c r="O56" s="4"/>
      <c r="P56" s="20"/>
      <c r="Q56" s="21" t="b">
        <v>0</v>
      </c>
      <c r="R56" s="395" t="s">
        <v>25</v>
      </c>
      <c r="S56" s="233" t="s">
        <v>228</v>
      </c>
      <c r="T56" s="234">
        <f>J63</f>
        <v>105</v>
      </c>
      <c r="U56" s="235">
        <f>K63</f>
        <v>120</v>
      </c>
      <c r="V56" s="235">
        <f>MIN(L63:M63)</f>
        <v>0</v>
      </c>
      <c r="W56" s="236">
        <f>MIN(N63:O63)</f>
        <v>0</v>
      </c>
      <c r="X56" s="237"/>
      <c r="Y56" s="11"/>
      <c r="Z56" s="11"/>
      <c r="AA56" s="11"/>
      <c r="AB56" s="5"/>
      <c r="AC56" s="5"/>
      <c r="AE56"/>
      <c r="AG56"/>
    </row>
    <row r="57" spans="1:34" s="7" customFormat="1" ht="18" customHeight="1">
      <c r="A57"/>
      <c r="B57" s="92" t="s">
        <v>399</v>
      </c>
      <c r="D57"/>
      <c r="E57"/>
      <c r="F57"/>
      <c r="G57" s="153" t="s">
        <v>390</v>
      </c>
      <c r="H57"/>
      <c r="I57" s="4"/>
      <c r="J57" s="4"/>
      <c r="K57" s="4"/>
      <c r="L57" s="4"/>
      <c r="M57" s="4"/>
      <c r="N57" s="4"/>
      <c r="O57" s="4"/>
      <c r="P57" s="32"/>
      <c r="Q57" s="15"/>
      <c r="R57" s="396"/>
      <c r="S57" s="220" t="s">
        <v>225</v>
      </c>
      <c r="T57" s="221">
        <f>3.46*($V$39)/(MIN(T56))</f>
        <v>93.42</v>
      </c>
      <c r="U57" s="222">
        <f>3.46*($V$39)/(MIN(U56))</f>
        <v>81.742500000000007</v>
      </c>
      <c r="V57" s="222" t="e">
        <f>3.46*$V$39/(MIN(V56))</f>
        <v>#DIV/0!</v>
      </c>
      <c r="W57" s="223" t="e">
        <f>3.46*($V$39)/(MIN(W56))</f>
        <v>#DIV/0!</v>
      </c>
      <c r="X57" s="237"/>
      <c r="Y57" s="11"/>
      <c r="Z57" s="11"/>
      <c r="AA57" s="5"/>
      <c r="AB57" s="5"/>
      <c r="AC57" s="5"/>
      <c r="AD57" s="5"/>
      <c r="AE57"/>
    </row>
    <row r="58" spans="1:34" ht="18" customHeight="1">
      <c r="A58" s="7"/>
      <c r="B58" t="s">
        <v>424</v>
      </c>
      <c r="C58" s="150"/>
      <c r="D58" s="7"/>
      <c r="F58"/>
      <c r="G58"/>
      <c r="N58"/>
      <c r="O58" s="219"/>
      <c r="P58" s="32"/>
      <c r="Q58" s="15"/>
      <c r="R58" s="396"/>
      <c r="S58" s="225" t="s">
        <v>226</v>
      </c>
      <c r="T58" s="226">
        <f>IF(T57&lt;=30,1,IF(T57&gt;100,3000/(T57)^2,1.3-0.01*T57))</f>
        <v>0.36580000000000001</v>
      </c>
      <c r="U58" s="227">
        <f t="shared" ref="U58:W58" si="1">IF(U57&lt;=30,1,IF(U57&gt;100,3000/(U57)^2,1.3-0.01*U57))</f>
        <v>0.48257499999999998</v>
      </c>
      <c r="V58" s="227" t="e">
        <f t="shared" si="1"/>
        <v>#DIV/0!</v>
      </c>
      <c r="W58" s="228" t="e">
        <f t="shared" si="1"/>
        <v>#DIV/0!</v>
      </c>
      <c r="X58" s="237"/>
      <c r="Y58" s="237"/>
      <c r="AA58" s="5"/>
      <c r="AB58" s="11"/>
      <c r="AC58" s="5"/>
      <c r="AD58" s="7"/>
      <c r="AG58" s="7"/>
      <c r="AH58" s="7"/>
    </row>
    <row r="59" spans="1:34" ht="18" customHeight="1" thickBot="1">
      <c r="A59" s="7"/>
      <c r="B59" s="224" t="s">
        <v>301</v>
      </c>
      <c r="C59" s="150"/>
      <c r="D59" s="2"/>
      <c r="F59"/>
      <c r="G59"/>
      <c r="N59"/>
      <c r="O59" s="219"/>
      <c r="P59" s="32"/>
      <c r="Q59" s="15"/>
      <c r="R59" s="397"/>
      <c r="S59" s="229" t="s">
        <v>297</v>
      </c>
      <c r="T59" s="230" t="str">
        <f>IF(($F$12-0.12)*1000/J63&lt;=43.3,"","有効細長比150以上")</f>
        <v/>
      </c>
      <c r="U59" s="231" t="str">
        <f>IF(($F$12-0.12)*1000/K63&lt;=43.3,"","有効細長比150以上")</f>
        <v/>
      </c>
      <c r="V59" s="231" t="e">
        <f>IF(($F$12-0.12)*1000/MIN(L63:M63)&lt;=43.3,"","有効細長比150以上")</f>
        <v>#DIV/0!</v>
      </c>
      <c r="W59" s="232" t="e">
        <f>IF(($F$12-0.12)*1000/MIN(N63:O63)&lt;=43.3,"","有効細長比150以上")</f>
        <v>#DIV/0!</v>
      </c>
      <c r="X59" s="237"/>
      <c r="Y59" s="237"/>
      <c r="AA59" s="5"/>
      <c r="AB59" s="5"/>
      <c r="AC59" s="5"/>
      <c r="AD59" s="5"/>
      <c r="AG59" s="7"/>
      <c r="AH59" s="7"/>
    </row>
    <row r="60" spans="1:34" ht="18" customHeight="1">
      <c r="B60" s="723" t="s">
        <v>277</v>
      </c>
      <c r="C60" s="724"/>
      <c r="D60" s="459" t="s">
        <v>219</v>
      </c>
      <c r="E60" s="460"/>
      <c r="F60" s="460"/>
      <c r="G60" s="460"/>
      <c r="H60" s="460"/>
      <c r="I60" s="459" t="s">
        <v>237</v>
      </c>
      <c r="J60" s="460"/>
      <c r="K60" s="460"/>
      <c r="L60" s="460"/>
      <c r="M60" s="460"/>
      <c r="N60" s="460"/>
      <c r="O60" s="461"/>
      <c r="P60" s="23"/>
      <c r="Q60" s="14"/>
      <c r="R60" s="270"/>
      <c r="S60" s="245"/>
      <c r="T60" s="237"/>
      <c r="U60" s="237"/>
      <c r="V60" s="237"/>
      <c r="W60" s="237"/>
      <c r="X60" s="237"/>
      <c r="Y60" s="237"/>
      <c r="AA60" s="5"/>
      <c r="AB60" s="5"/>
      <c r="AC60" s="5"/>
      <c r="AD60" s="5"/>
      <c r="AG60" s="7"/>
      <c r="AH60" s="7"/>
    </row>
    <row r="61" spans="1:34" ht="18" customHeight="1">
      <c r="B61" s="725"/>
      <c r="C61" s="726"/>
      <c r="D61" s="752" t="s">
        <v>244</v>
      </c>
      <c r="E61" s="753"/>
      <c r="F61" s="756" t="s">
        <v>214</v>
      </c>
      <c r="G61" s="753" t="s">
        <v>56</v>
      </c>
      <c r="H61" s="569"/>
      <c r="I61" s="759" t="s">
        <v>422</v>
      </c>
      <c r="J61" s="238" t="s">
        <v>38</v>
      </c>
      <c r="K61" s="238" t="s">
        <v>39</v>
      </c>
      <c r="L61" s="746" t="s">
        <v>223</v>
      </c>
      <c r="M61" s="746"/>
      <c r="N61" s="746" t="s">
        <v>224</v>
      </c>
      <c r="O61" s="747"/>
      <c r="P61" s="33"/>
      <c r="R61" s="270"/>
      <c r="S61" s="245"/>
      <c r="T61" s="237"/>
      <c r="U61" s="237"/>
      <c r="V61" s="237"/>
      <c r="W61" s="237"/>
      <c r="X61" s="237"/>
      <c r="Y61" s="237"/>
      <c r="AA61" s="5"/>
      <c r="AB61" s="5"/>
      <c r="AC61" s="5"/>
      <c r="AD61" s="5"/>
    </row>
    <row r="62" spans="1:34" ht="36" customHeight="1">
      <c r="B62" s="725"/>
      <c r="C62" s="726"/>
      <c r="D62" s="752"/>
      <c r="E62" s="753"/>
      <c r="F62" s="756"/>
      <c r="G62" s="753"/>
      <c r="H62" s="569"/>
      <c r="I62" s="759"/>
      <c r="J62" s="239" t="s">
        <v>278</v>
      </c>
      <c r="K62" s="239" t="s">
        <v>278</v>
      </c>
      <c r="L62" s="240" t="s">
        <v>221</v>
      </c>
      <c r="M62" s="240" t="s">
        <v>222</v>
      </c>
      <c r="N62" s="240" t="s">
        <v>221</v>
      </c>
      <c r="O62" s="241" t="s">
        <v>222</v>
      </c>
      <c r="P62" s="70"/>
      <c r="R62" s="270"/>
      <c r="S62" s="818" t="s">
        <v>321</v>
      </c>
      <c r="T62" s="818"/>
      <c r="U62" s="818"/>
      <c r="V62" s="237"/>
      <c r="W62" s="237"/>
      <c r="X62" s="237"/>
      <c r="Y62" s="237"/>
      <c r="AA62" s="5"/>
      <c r="AC62" s="5"/>
      <c r="AD62" s="5"/>
    </row>
    <row r="63" spans="1:34" ht="16.899999999999999" customHeight="1" thickBot="1">
      <c r="B63" s="727"/>
      <c r="C63" s="728"/>
      <c r="D63" s="754"/>
      <c r="E63" s="755"/>
      <c r="F63" s="757"/>
      <c r="G63" s="755"/>
      <c r="H63" s="758"/>
      <c r="I63" s="760"/>
      <c r="J63" s="242">
        <v>105</v>
      </c>
      <c r="K63" s="242">
        <v>120</v>
      </c>
      <c r="L63" s="35"/>
      <c r="M63" s="35"/>
      <c r="N63" s="35"/>
      <c r="O63" s="36"/>
      <c r="P63" s="33"/>
      <c r="R63" s="270"/>
      <c r="S63" s="818"/>
      <c r="T63" s="818"/>
      <c r="U63" s="818"/>
      <c r="V63" s="237"/>
      <c r="W63" s="237"/>
      <c r="X63" s="237"/>
      <c r="Y63" s="237"/>
      <c r="AA63" s="5"/>
      <c r="AB63" s="5"/>
      <c r="AC63" s="5"/>
      <c r="AD63" s="5"/>
    </row>
    <row r="64" spans="1:34" ht="36" customHeight="1" thickBot="1">
      <c r="B64" s="400" t="s">
        <v>288</v>
      </c>
      <c r="C64" s="243" t="s">
        <v>161</v>
      </c>
      <c r="D64" s="767"/>
      <c r="E64" s="768"/>
      <c r="F64" s="43"/>
      <c r="G64" s="768"/>
      <c r="H64" s="769"/>
      <c r="I64" s="244" t="str">
        <f>IF($Q$56=TRUE,IFERROR(VLOOKUP(D64&amp;F64&amp;G64,柱の圧縮基準強度!$A$4:$F$187,6,0),"該当なし"),"")</f>
        <v/>
      </c>
      <c r="J64" s="342" t="str">
        <f t="shared" ref="J64:K69" si="2">IF($Q$56=TRUE,T65,"")</f>
        <v/>
      </c>
      <c r="K64" s="342" t="str">
        <f t="shared" si="2"/>
        <v/>
      </c>
      <c r="L64" s="770" t="str">
        <f t="shared" ref="L64:L69" si="3">IFERROR(IF($Q$56=TRUE,V65,""),"")</f>
        <v/>
      </c>
      <c r="M64" s="771"/>
      <c r="N64" s="770" t="str">
        <f t="shared" ref="N64:N69" si="4">IFERROR(IF($Q$56=TRUE,W65,""),"")</f>
        <v/>
      </c>
      <c r="O64" s="772"/>
      <c r="P64" s="272"/>
      <c r="Q64" s="17"/>
      <c r="R64" s="245"/>
      <c r="S64" s="237"/>
      <c r="T64" s="212" t="s">
        <v>38</v>
      </c>
      <c r="U64" s="213" t="s">
        <v>39</v>
      </c>
      <c r="V64" s="213" t="s">
        <v>223</v>
      </c>
      <c r="W64" s="214" t="s">
        <v>227</v>
      </c>
      <c r="X64" s="246" t="s">
        <v>289</v>
      </c>
      <c r="Y64" s="237"/>
      <c r="AA64" s="5"/>
      <c r="AB64" s="5"/>
      <c r="AC64" s="5"/>
      <c r="AD64" s="5"/>
      <c r="AE64" s="7"/>
    </row>
    <row r="65" spans="2:30" ht="30" customHeight="1">
      <c r="B65" s="401"/>
      <c r="C65" s="84" t="s">
        <v>162</v>
      </c>
      <c r="D65" s="761"/>
      <c r="E65" s="762"/>
      <c r="F65" s="57"/>
      <c r="G65" s="762"/>
      <c r="H65" s="763"/>
      <c r="I65" s="247" t="str">
        <f>IF($Q$56=TRUE,IFERROR(VLOOKUP(D65&amp;F65&amp;G65,柱の圧縮基準強度!$A$4:$F$187,6,0),"該当なし"),"")</f>
        <v/>
      </c>
      <c r="J65" s="343" t="str">
        <f t="shared" si="2"/>
        <v/>
      </c>
      <c r="K65" s="343" t="str">
        <f t="shared" si="2"/>
        <v/>
      </c>
      <c r="L65" s="773" t="str">
        <f t="shared" si="3"/>
        <v/>
      </c>
      <c r="M65" s="773"/>
      <c r="N65" s="765" t="str">
        <f t="shared" si="4"/>
        <v/>
      </c>
      <c r="O65" s="766"/>
      <c r="P65" s="272"/>
      <c r="T65" s="256" t="str">
        <f>IF(T59="",IFERROR(ROUNDDOWN(1.1/3*T58*$I64*J63*J63/$T$39/1000,1),""),T59)</f>
        <v/>
      </c>
      <c r="U65" s="256" t="str">
        <f>IF(U59="",IFERROR(ROUNDDOWN(1.1/3*U58*$I64*K63*K63/$T$39/1000,1),""),U59)</f>
        <v/>
      </c>
      <c r="V65" s="256" t="e">
        <f>IF(V59="",IFERROR(ROUNDDOWN(1.1/3*V58*$I64*L63*M63/$T$39/1000,1),""),V59)</f>
        <v>#DIV/0!</v>
      </c>
      <c r="W65" s="256" t="e">
        <f>IF(W59="",IFERROR(ROUNDDOWN(1.1/3*W58*$I64*N63*O63/$T$39/1000,1),""),W59)</f>
        <v>#DIV/0!</v>
      </c>
      <c r="X65" s="194" t="str">
        <f>IF(D64="JAS機械等級区分構造用製材","機械",IF(D64="JAS目視等級区分構造用製材", "目視",IF(D64="無等級材","無等級",IF(D64="JAS同一等級構成集成材","集成材","LVL"))))</f>
        <v>LVL</v>
      </c>
      <c r="Y65" s="237"/>
      <c r="AA65" s="5"/>
      <c r="AB65" s="5"/>
      <c r="AC65" s="7"/>
      <c r="AD65" s="7"/>
    </row>
    <row r="66" spans="2:30" ht="30" customHeight="1" thickBot="1">
      <c r="B66" s="402"/>
      <c r="C66" s="252" t="s">
        <v>170</v>
      </c>
      <c r="D66" s="410" t="s">
        <v>500</v>
      </c>
      <c r="E66" s="411"/>
      <c r="F66" s="412"/>
      <c r="G66" s="825" t="s">
        <v>324</v>
      </c>
      <c r="H66" s="826"/>
      <c r="I66" s="56"/>
      <c r="J66" s="343" t="str">
        <f t="shared" si="2"/>
        <v/>
      </c>
      <c r="K66" s="343" t="str">
        <f t="shared" si="2"/>
        <v/>
      </c>
      <c r="L66" s="827" t="str">
        <f t="shared" si="3"/>
        <v/>
      </c>
      <c r="M66" s="827"/>
      <c r="N66" s="828" t="str">
        <f t="shared" si="4"/>
        <v/>
      </c>
      <c r="O66" s="829"/>
      <c r="P66" s="272"/>
      <c r="T66" s="255" t="str">
        <f>IF(T59="",IFERROR(ROUNDDOWN(1.1/3*T58*$I65*J63*J63/$T$39/1000,1),""),T59)</f>
        <v/>
      </c>
      <c r="U66" s="255" t="str">
        <f>IF(U59="",IFERROR(ROUNDDOWN(1.1/3*U58*$I65*K63*K63/$T$39/1000,1),""),U59)</f>
        <v/>
      </c>
      <c r="V66" s="256" t="e">
        <f>IF(V59="",IFERROR(ROUNDDOWN(1.1/3*V58*$I65*L63*M63/$T$39/1000,1),""),V59)</f>
        <v>#DIV/0!</v>
      </c>
      <c r="W66" s="256" t="e">
        <f>IF(W59="",IFERROR(ROUNDDOWN(1.1/3*W58*$I65*N63*O63/$T$39/1000,1),""),W59)</f>
        <v>#DIV/0!</v>
      </c>
      <c r="X66" s="257" t="str">
        <f>IF(D65="JAS機械等級区分構造用製材","機械",IF(D65="JAS目視等級区分構造用製材", "目視",IF(D65="無等級材","無等級",IF(D65="JAS同一等級構成集成材","集成材","LVL"))))</f>
        <v>LVL</v>
      </c>
      <c r="Y66" s="237"/>
      <c r="AA66" s="5"/>
      <c r="AB66" s="5"/>
      <c r="AC66" s="7"/>
      <c r="AD66" s="5"/>
    </row>
    <row r="67" spans="2:30" ht="30" customHeight="1">
      <c r="B67" s="400" t="s">
        <v>286</v>
      </c>
      <c r="C67" s="243" t="s">
        <v>161</v>
      </c>
      <c r="D67" s="767"/>
      <c r="E67" s="768"/>
      <c r="F67" s="43"/>
      <c r="G67" s="768"/>
      <c r="H67" s="769"/>
      <c r="I67" s="244" t="str">
        <f>IF($Q$56=TRUE,IFERROR(VLOOKUP(D67&amp;F67&amp;G67,柱の圧縮基準強度!$A$4:$F$187,6,0),"該当なし"),"")</f>
        <v/>
      </c>
      <c r="J67" s="342" t="str">
        <f t="shared" si="2"/>
        <v/>
      </c>
      <c r="K67" s="342" t="str">
        <f t="shared" si="2"/>
        <v/>
      </c>
      <c r="L67" s="774" t="str">
        <f t="shared" si="3"/>
        <v/>
      </c>
      <c r="M67" s="774"/>
      <c r="N67" s="770" t="str">
        <f t="shared" si="4"/>
        <v/>
      </c>
      <c r="O67" s="772"/>
      <c r="P67" s="272"/>
      <c r="T67" s="255">
        <f>IF(T59="",IFERROR(ROUNDDOWN(1.1/3*T58*$I66*J63*J63/$T$39/1000,1),""),T59)</f>
        <v>0</v>
      </c>
      <c r="U67" s="255">
        <f>IF(U59="",IFERROR(ROUNDDOWN(1.1/3*U58*$I66*K63*K63/$T$39/1000,1),""),U59)</f>
        <v>0</v>
      </c>
      <c r="V67" s="256" t="e">
        <f>IF(V59="",IFERROR(ROUNDDOWN(1.1/3*V58*$I66*L63*M63/$T$39/1000,1),""),V59)</f>
        <v>#DIV/0!</v>
      </c>
      <c r="W67" s="256" t="e">
        <f>IF(W59="",IFERROR(ROUNDDOWN(1.1/3*W58*$I66*N63*O63/$T$39/1000,1),""),W59)</f>
        <v>#DIV/0!</v>
      </c>
      <c r="X67" s="257"/>
      <c r="Y67" s="237"/>
      <c r="AA67" s="5"/>
      <c r="AB67" s="5"/>
      <c r="AC67" s="7"/>
      <c r="AD67" s="5"/>
    </row>
    <row r="68" spans="2:30" ht="30" customHeight="1">
      <c r="B68" s="401"/>
      <c r="C68" s="84" t="s">
        <v>162</v>
      </c>
      <c r="D68" s="761"/>
      <c r="E68" s="762"/>
      <c r="F68" s="57"/>
      <c r="G68" s="762"/>
      <c r="H68" s="763"/>
      <c r="I68" s="247" t="str">
        <f>IF($Q$56=TRUE,IFERROR(VLOOKUP(D68&amp;F68&amp;G68,柱の圧縮基準強度!$A$4:$F$187,6,0),"該当なし"),"")</f>
        <v/>
      </c>
      <c r="J68" s="345" t="str">
        <f t="shared" si="2"/>
        <v/>
      </c>
      <c r="K68" s="345" t="str">
        <f t="shared" si="2"/>
        <v/>
      </c>
      <c r="L68" s="764" t="str">
        <f t="shared" si="3"/>
        <v/>
      </c>
      <c r="M68" s="764"/>
      <c r="N68" s="765" t="str">
        <f t="shared" si="4"/>
        <v/>
      </c>
      <c r="O68" s="766"/>
      <c r="P68" s="272"/>
      <c r="R68" s="17"/>
      <c r="S68" s="17"/>
      <c r="T68" s="256" t="str">
        <f>IF(T59="",IFERROR(ROUNDDOWN(1.1/3*T58*$I67*J63*J63/$U$39/1000,1),""),T59)</f>
        <v/>
      </c>
      <c r="U68" s="256" t="str">
        <f>IF(U59="",IFERROR(ROUNDDOWN(1.1/3*U58*$I67*K63*K63/$U$39/1000,1),""),U59)</f>
        <v/>
      </c>
      <c r="V68" s="256" t="e">
        <f>IF(V59="",IFERROR(ROUNDDOWN(1.1/3*V58*$I67*L63*M63/$U$39/1000,1),""),V59)</f>
        <v>#DIV/0!</v>
      </c>
      <c r="W68" s="256" t="e">
        <f>IF(W59="",IFERROR(ROUNDDOWN(1.1/3*W58*$I67*N63*O63/$U$39/1000,1),""),W59)</f>
        <v>#DIV/0!</v>
      </c>
      <c r="X68" s="257" t="str">
        <f>IF(D67="JAS機械等級区分構造用製材","機械",IF(D67="JAS目視等級区分構造用製材", "目視",IF(D67="無等級材","無等級",IF(D67="JAS同一等級構成集成材","集成材","LVL"))))</f>
        <v>LVL</v>
      </c>
      <c r="Y68" s="237"/>
      <c r="AA68" s="5"/>
      <c r="AB68" s="7"/>
      <c r="AC68" s="5"/>
      <c r="AD68" s="7"/>
    </row>
    <row r="69" spans="2:30" ht="30" customHeight="1" thickBot="1">
      <c r="B69" s="402"/>
      <c r="C69" s="252" t="s">
        <v>170</v>
      </c>
      <c r="D69" s="410" t="s">
        <v>500</v>
      </c>
      <c r="E69" s="411"/>
      <c r="F69" s="412"/>
      <c r="G69" s="825" t="s">
        <v>324</v>
      </c>
      <c r="H69" s="826"/>
      <c r="I69" s="56"/>
      <c r="J69" s="347" t="str">
        <f t="shared" si="2"/>
        <v/>
      </c>
      <c r="K69" s="347" t="str">
        <f t="shared" si="2"/>
        <v/>
      </c>
      <c r="L69" s="827" t="str">
        <f t="shared" si="3"/>
        <v/>
      </c>
      <c r="M69" s="827"/>
      <c r="N69" s="828" t="str">
        <f t="shared" si="4"/>
        <v/>
      </c>
      <c r="O69" s="829"/>
      <c r="P69" s="272"/>
      <c r="T69" s="256" t="str">
        <f>IF(T59="",IFERROR(ROUNDDOWN(1.1/3*T58*$I68*J63*J63/$U$39/1000,1),""),T59)</f>
        <v/>
      </c>
      <c r="U69" s="256" t="str">
        <f>IF(U59="",IFERROR(ROUNDDOWN(1.1/3*U58*$I68*K63*K63/$U$39/1000,1),""),U59)</f>
        <v/>
      </c>
      <c r="V69" s="256" t="e">
        <f>IF(V59="",IFERROR(ROUNDDOWN(1.1/3*V58*$I68*L63*M63/$U$39/1000,1),""),V59)</f>
        <v>#DIV/0!</v>
      </c>
      <c r="W69" s="256" t="e">
        <f>IF(W59="",IFERROR(ROUNDDOWN(1.1/3*W58*$I68*N63*O63/$U$39/1000,1),""),W59)</f>
        <v>#DIV/0!</v>
      </c>
      <c r="X69" s="183" t="str">
        <f>IF(D68="JAS機械等級区分構造用製材","機械",IF(D68="JAS目視等級区分構造用製材", "目視",IF(D68="無等級材","無等級",IF(D68="JAS同一等級構成集成材","集成材","LVL"))))</f>
        <v>LVL</v>
      </c>
      <c r="Y69" s="237"/>
      <c r="AA69" s="5"/>
      <c r="AB69" s="7"/>
      <c r="AC69" s="7"/>
      <c r="AD69" s="7"/>
    </row>
    <row r="70" spans="2:30" ht="36" customHeight="1" thickBot="1">
      <c r="B70" s="7" t="s">
        <v>308</v>
      </c>
      <c r="P70" s="21"/>
      <c r="T70" s="256">
        <f>IF(T59="",IFERROR(ROUNDDOWN(1.1/3*T58*$I69*J63*J63/$U$39/1000,1),""),T59)</f>
        <v>0</v>
      </c>
      <c r="U70" s="256">
        <f>IF(U59="",IFERROR(ROUNDDOWN(1.1/3*U58*$I69*K63*K63/$U$39/1000,1),""),U59)</f>
        <v>0</v>
      </c>
      <c r="V70" s="256" t="e">
        <f>IF(V59="",IFERROR(ROUNDDOWN(1.1/3*V58*$I69*L63*M63/$U$39/1000,1),""),V59)</f>
        <v>#DIV/0!</v>
      </c>
      <c r="W70" s="256" t="e">
        <f>IF(W59="",IFERROR(ROUNDDOWN(1.1/3*W58*$I69*N63*O63/$U$39/1000,1),""),W59)</f>
        <v>#DIV/0!</v>
      </c>
      <c r="X70" s="183"/>
      <c r="Y70" s="237"/>
      <c r="AA70" s="5"/>
      <c r="AB70" s="5"/>
      <c r="AC70" s="7"/>
      <c r="AD70" s="7"/>
    </row>
    <row r="71" spans="2:30" ht="18" customHeight="1">
      <c r="O71" s="265"/>
      <c r="P71" s="54"/>
      <c r="AA71" s="5"/>
      <c r="AB71" s="5"/>
      <c r="AC71" s="7"/>
    </row>
    <row r="72" spans="2:30" ht="18" customHeight="1">
      <c r="O72" s="265"/>
      <c r="P72" s="54"/>
      <c r="AA72" s="5"/>
      <c r="AB72" s="5"/>
    </row>
    <row r="73" spans="2:30" ht="30" customHeight="1">
      <c r="P73" s="21"/>
      <c r="AA73" s="5"/>
      <c r="AB73" s="5"/>
    </row>
    <row r="74" spans="2:30" ht="30" customHeight="1">
      <c r="P74" s="21"/>
      <c r="AA74" s="5"/>
      <c r="AB74" s="5"/>
    </row>
    <row r="75" spans="2:30" ht="30" customHeight="1">
      <c r="P75" s="21"/>
      <c r="AA75" s="5"/>
      <c r="AB75" s="5"/>
    </row>
    <row r="76" spans="2:30" ht="30" customHeight="1">
      <c r="P76" s="21"/>
      <c r="AA76" s="5"/>
      <c r="AB76" s="5"/>
    </row>
    <row r="77" spans="2:30" ht="30" customHeight="1">
      <c r="P77" s="21"/>
      <c r="AA77" s="5"/>
      <c r="AB77" s="5"/>
    </row>
    <row r="78" spans="2:30" ht="30" customHeight="1">
      <c r="AA78" s="5"/>
      <c r="AB78" s="5"/>
    </row>
    <row r="79" spans="2:30">
      <c r="AA79" s="5"/>
      <c r="AB79" s="5"/>
    </row>
    <row r="80" spans="2:30">
      <c r="AB80" s="5"/>
    </row>
    <row r="81" spans="28:28">
      <c r="AB81" s="5"/>
    </row>
    <row r="82" spans="28:28">
      <c r="AB82" s="5"/>
    </row>
  </sheetData>
  <sheetProtection algorithmName="SHA-512" hashValue="dFxsQVGd+3ggL9a5sTpFSHA1WNIftKXYY3njHstTRzQ/9C3bPzmmW65PG4CBQlvU1pM8QPgLE9OcTAx+7mwvBQ==" saltValue="6FZkx6bWobYEEygoa2ARjQ==" spinCount="100000" sheet="1" objects="1" scenarios="1"/>
  <mergeCells count="178">
    <mergeCell ref="D69:F69"/>
    <mergeCell ref="G69:H69"/>
    <mergeCell ref="L69:M69"/>
    <mergeCell ref="N69:O69"/>
    <mergeCell ref="N50:O50"/>
    <mergeCell ref="F31:G31"/>
    <mergeCell ref="H31:I31"/>
    <mergeCell ref="G53:H53"/>
    <mergeCell ref="I53:K53"/>
    <mergeCell ref="L53:M53"/>
    <mergeCell ref="N53:O53"/>
    <mergeCell ref="D54:H54"/>
    <mergeCell ref="I54:K54"/>
    <mergeCell ref="L54:M54"/>
    <mergeCell ref="D40:D41"/>
    <mergeCell ref="E40:F41"/>
    <mergeCell ref="B44:L44"/>
    <mergeCell ref="B67:B69"/>
    <mergeCell ref="B30:B31"/>
    <mergeCell ref="C30:E31"/>
    <mergeCell ref="F30:G30"/>
    <mergeCell ref="H30:I30"/>
    <mergeCell ref="D39:F39"/>
    <mergeCell ref="D50:F50"/>
    <mergeCell ref="T21:U21"/>
    <mergeCell ref="R28:S28"/>
    <mergeCell ref="R37:S38"/>
    <mergeCell ref="T37:T38"/>
    <mergeCell ref="U37:U38"/>
    <mergeCell ref="R39:S39"/>
    <mergeCell ref="N26:O26"/>
    <mergeCell ref="L23:O23"/>
    <mergeCell ref="T25:U25"/>
    <mergeCell ref="L24:M24"/>
    <mergeCell ref="N24:O24"/>
    <mergeCell ref="L25:M25"/>
    <mergeCell ref="N25:O25"/>
    <mergeCell ref="L26:M26"/>
    <mergeCell ref="T23:U23"/>
    <mergeCell ref="G50:H50"/>
    <mergeCell ref="I50:K50"/>
    <mergeCell ref="L50:M50"/>
    <mergeCell ref="B39:C41"/>
    <mergeCell ref="W2:X2"/>
    <mergeCell ref="T3:U3"/>
    <mergeCell ref="T4:U4"/>
    <mergeCell ref="T5:U5"/>
    <mergeCell ref="T6:U6"/>
    <mergeCell ref="A1:O2"/>
    <mergeCell ref="T1:U1"/>
    <mergeCell ref="T2:U2"/>
    <mergeCell ref="C11:E11"/>
    <mergeCell ref="F11:G11"/>
    <mergeCell ref="H11:O11"/>
    <mergeCell ref="T10:U10"/>
    <mergeCell ref="T11:U11"/>
    <mergeCell ref="T7:U7"/>
    <mergeCell ref="M3:O3"/>
    <mergeCell ref="F20:G22"/>
    <mergeCell ref="H20:K22"/>
    <mergeCell ref="L20:O20"/>
    <mergeCell ref="T22:U22"/>
    <mergeCell ref="L21:M21"/>
    <mergeCell ref="A4:C4"/>
    <mergeCell ref="D4:F4"/>
    <mergeCell ref="B64:B66"/>
    <mergeCell ref="W37:W38"/>
    <mergeCell ref="S62:U63"/>
    <mergeCell ref="V37:V38"/>
    <mergeCell ref="X12:Y12"/>
    <mergeCell ref="T12:U12"/>
    <mergeCell ref="V25:W25"/>
    <mergeCell ref="D66:F66"/>
    <mergeCell ref="G66:H66"/>
    <mergeCell ref="L66:M66"/>
    <mergeCell ref="N66:O66"/>
    <mergeCell ref="C14:E14"/>
    <mergeCell ref="F14:G14"/>
    <mergeCell ref="H14:O14"/>
    <mergeCell ref="T16:U16"/>
    <mergeCell ref="R19:R20"/>
    <mergeCell ref="T20:U20"/>
    <mergeCell ref="R14:R18"/>
    <mergeCell ref="T14:U14"/>
    <mergeCell ref="T17:U17"/>
    <mergeCell ref="T18:U18"/>
    <mergeCell ref="T15:U15"/>
    <mergeCell ref="T19:U19"/>
    <mergeCell ref="D51:F51"/>
    <mergeCell ref="B11:B26"/>
    <mergeCell ref="C23:E26"/>
    <mergeCell ref="F23:G26"/>
    <mergeCell ref="H23:K26"/>
    <mergeCell ref="C20:E22"/>
    <mergeCell ref="N22:O22"/>
    <mergeCell ref="N21:O21"/>
    <mergeCell ref="L22:M22"/>
    <mergeCell ref="C15:E15"/>
    <mergeCell ref="F15:G15"/>
    <mergeCell ref="H15:O15"/>
    <mergeCell ref="C16:E16"/>
    <mergeCell ref="F16:G16"/>
    <mergeCell ref="H16:O16"/>
    <mergeCell ref="C17:E19"/>
    <mergeCell ref="F17:G19"/>
    <mergeCell ref="H17:K19"/>
    <mergeCell ref="L17:O17"/>
    <mergeCell ref="L18:O18"/>
    <mergeCell ref="L19:O19"/>
    <mergeCell ref="G51:H51"/>
    <mergeCell ref="I51:K51"/>
    <mergeCell ref="T8:U8"/>
    <mergeCell ref="W8:X8"/>
    <mergeCell ref="T9:U9"/>
    <mergeCell ref="V9:W9"/>
    <mergeCell ref="X11:Y11"/>
    <mergeCell ref="T13:U13"/>
    <mergeCell ref="C13:E13"/>
    <mergeCell ref="F13:G13"/>
    <mergeCell ref="H13:O13"/>
    <mergeCell ref="C12:E12"/>
    <mergeCell ref="F12:G12"/>
    <mergeCell ref="H12:O12"/>
    <mergeCell ref="D68:E68"/>
    <mergeCell ref="G68:H68"/>
    <mergeCell ref="L68:M68"/>
    <mergeCell ref="N68:O68"/>
    <mergeCell ref="D64:E64"/>
    <mergeCell ref="G64:H64"/>
    <mergeCell ref="L64:M64"/>
    <mergeCell ref="N64:O64"/>
    <mergeCell ref="D65:E65"/>
    <mergeCell ref="G65:H65"/>
    <mergeCell ref="L65:M65"/>
    <mergeCell ref="N65:O65"/>
    <mergeCell ref="D67:E67"/>
    <mergeCell ref="G67:H67"/>
    <mergeCell ref="L67:M67"/>
    <mergeCell ref="N67:O67"/>
    <mergeCell ref="L61:M61"/>
    <mergeCell ref="N61:O61"/>
    <mergeCell ref="R56:R59"/>
    <mergeCell ref="D52:F52"/>
    <mergeCell ref="G52:H52"/>
    <mergeCell ref="I52:K52"/>
    <mergeCell ref="L52:M52"/>
    <mergeCell ref="D60:H60"/>
    <mergeCell ref="I60:O60"/>
    <mergeCell ref="D61:E63"/>
    <mergeCell ref="F61:F63"/>
    <mergeCell ref="G61:H63"/>
    <mergeCell ref="I61:I63"/>
    <mergeCell ref="N52:O52"/>
    <mergeCell ref="D53:F53"/>
    <mergeCell ref="H4:O4"/>
    <mergeCell ref="A5:C5"/>
    <mergeCell ref="D5:F5"/>
    <mergeCell ref="M5:O5"/>
    <mergeCell ref="A6:C6"/>
    <mergeCell ref="D6:E6"/>
    <mergeCell ref="K6:L6"/>
    <mergeCell ref="Y26:Z26"/>
    <mergeCell ref="B60:C63"/>
    <mergeCell ref="B51:B54"/>
    <mergeCell ref="N54:O54"/>
    <mergeCell ref="X37:X38"/>
    <mergeCell ref="L51:M51"/>
    <mergeCell ref="N51:O51"/>
    <mergeCell ref="B42:C42"/>
    <mergeCell ref="E42:F42"/>
    <mergeCell ref="B46:O46"/>
    <mergeCell ref="B49:C50"/>
    <mergeCell ref="D49:K49"/>
    <mergeCell ref="L49:O49"/>
    <mergeCell ref="M44:N44"/>
    <mergeCell ref="B48:O48"/>
    <mergeCell ref="W7:X7"/>
    <mergeCell ref="R8:R9"/>
  </mergeCells>
  <phoneticPr fontId="1"/>
  <conditionalFormatting sqref="L17">
    <cfRule type="cellIs" dxfId="7" priority="6" operator="equal">
      <formula>"下記へ数値入力してください。"</formula>
    </cfRule>
  </conditionalFormatting>
  <conditionalFormatting sqref="L20">
    <cfRule type="cellIs" dxfId="6" priority="4" operator="equal">
      <formula>"下記へ数値入力してください。"</formula>
    </cfRule>
  </conditionalFormatting>
  <conditionalFormatting sqref="L23">
    <cfRule type="cellIs" dxfId="5" priority="2" operator="equal">
      <formula>"下記へ数値入力してください。"</formula>
    </cfRule>
  </conditionalFormatting>
  <conditionalFormatting sqref="P16 L17:O17 P19 L20:O20 P22 L23:O23">
    <cfRule type="cellIs" dxfId="4" priority="5" operator="equal">
      <formula>"下記の数値を削除してください"</formula>
    </cfRule>
  </conditionalFormatting>
  <dataValidations count="16">
    <dataValidation type="list" allowBlank="1" showInputMessage="1" showErrorMessage="1" sqref="F16:G16">
      <formula1>$S$14:$S$18</formula1>
    </dataValidation>
    <dataValidation type="list" allowBlank="1" showInputMessage="1" showErrorMessage="1" sqref="F23:G26">
      <formula1>$S$19:$S$20</formula1>
    </dataValidation>
    <dataValidation type="list" allowBlank="1" showInputMessage="1" showErrorMessage="1" sqref="F20">
      <formula1>$S$8:$S$9</formula1>
    </dataValidation>
    <dataValidation type="list" allowBlank="1" showInputMessage="1" showErrorMessage="1" sqref="G51:G53">
      <formula1>INDIRECT(D51)</formula1>
    </dataValidation>
    <dataValidation type="list" allowBlank="1" showInputMessage="1" showErrorMessage="1" sqref="I51:I53">
      <formula1>INDIRECT(X50)</formula1>
    </dataValidation>
    <dataValidation type="list" allowBlank="1" showInputMessage="1" showErrorMessage="1" sqref="G64:G65 G67:G68">
      <formula1>INDIRECT(X65)</formula1>
    </dataValidation>
    <dataValidation type="list" allowBlank="1" showInputMessage="1" showErrorMessage="1" sqref="F64:F65 F67:F68">
      <formula1>INDIRECT(D64)</formula1>
    </dataValidation>
    <dataValidation type="list" allowBlank="1" showInputMessage="1" showErrorMessage="1" sqref="H68">
      <formula1>INDIRECT(#REF!)</formula1>
    </dataValidation>
    <dataValidation type="list" allowBlank="1" showInputMessage="1" showErrorMessage="1" sqref="J51:K52">
      <formula1>INDIRECT(Y51)</formula1>
    </dataValidation>
    <dataValidation type="list" allowBlank="1" showInputMessage="1" showErrorMessage="1" sqref="J53:K53">
      <formula1>INDIRECT(Y54)</formula1>
    </dataValidation>
    <dataValidation type="list" allowBlank="1" showInputMessage="1" showErrorMessage="1" sqref="H64 H67">
      <formula1>INDIRECT(Y66)</formula1>
    </dataValidation>
    <dataValidation type="list" allowBlank="1" showInputMessage="1" showErrorMessage="1" sqref="H65">
      <formula1>INDIRECT(Y68)</formula1>
    </dataValidation>
    <dataValidation type="list" allowBlank="1" showInputMessage="1" showErrorMessage="1" sqref="F13:G13">
      <formula1>$Y$3:$Y$4</formula1>
    </dataValidation>
    <dataValidation type="list" allowBlank="1" showInputMessage="1" showErrorMessage="1" sqref="F17:G19">
      <formula1>$S$2:$S$4</formula1>
    </dataValidation>
    <dataValidation type="list" allowBlank="1" showInputMessage="1" showErrorMessage="1" sqref="F15:G15">
      <formula1>$S$5:$S$7</formula1>
    </dataValidation>
    <dataValidation type="list" allowBlank="1" showInputMessage="1" showErrorMessage="1" sqref="D5:D6 E6">
      <formula1>$AA$2:$AA$4</formula1>
    </dataValidation>
  </dataValidations>
  <hyperlinks>
    <hyperlink ref="G47" location="表計算ツールの解説・注意事項!A184" display="こちら。"/>
    <hyperlink ref="M44:N44" location="表計算ツールの解説・注意事項!A226" display="こちら。"/>
    <hyperlink ref="G38" location="表計算ツールの解説・注意事項!A119" display="こちら。"/>
    <hyperlink ref="F27" location="表計算ツールの解説・注意事項!A69" display="こちら。"/>
    <hyperlink ref="G57" location="表計算ツールの解説・注意事項!A195" display="こちら。"/>
  </hyperlinks>
  <pageMargins left="0.70866141732283472" right="0.70866141732283472" top="0.74803149606299213" bottom="0.74803149606299213" header="0.31496062992125984" footer="0.31496062992125984"/>
  <pageSetup paperSize="9" scale="79" fitToHeight="0" orientation="portrait" r:id="rId1"/>
  <rowBreaks count="1" manualBreakCount="1">
    <brk id="45" max="15" man="1"/>
  </rowBreaks>
  <ignoredErrors>
    <ignoredError sqref="L52:M53 F42 L51:M51 O51 N52:O54 N51 M64 M69 M67 M66 M65 M68 O64 O65 O66 O67 O68 O6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0</xdr:colOff>
                    <xdr:row>45</xdr:row>
                    <xdr:rowOff>0</xdr:rowOff>
                  </from>
                  <to>
                    <xdr:col>1</xdr:col>
                    <xdr:colOff>28575</xdr:colOff>
                    <xdr:row>46</xdr:row>
                    <xdr:rowOff>28575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28575</xdr:colOff>
                    <xdr:row>55</xdr:row>
                    <xdr:rowOff>28575</xdr:rowOff>
                  </from>
                  <to>
                    <xdr:col>0</xdr:col>
                    <xdr:colOff>266700</xdr:colOff>
                    <xdr:row>56</xdr:row>
                    <xdr:rowOff>28575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0</xdr:colOff>
                    <xdr:row>35</xdr:row>
                    <xdr:rowOff>219075</xdr:rowOff>
                  </from>
                  <to>
                    <xdr:col>1</xdr:col>
                    <xdr:colOff>28575</xdr:colOff>
                    <xdr:row>36</xdr:row>
                    <xdr:rowOff>219075</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0</xdr:col>
                    <xdr:colOff>28575</xdr:colOff>
                    <xdr:row>55</xdr:row>
                    <xdr:rowOff>28575</xdr:rowOff>
                  </from>
                  <to>
                    <xdr:col>0</xdr:col>
                    <xdr:colOff>266700</xdr:colOff>
                    <xdr:row>56</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柱の圧縮基準強度!$I$1:$M$1</xm:f>
          </x14:formula1>
          <xm:sqref>D51:F53 D64:D65 D67:D68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91"/>
  <sheetViews>
    <sheetView tabSelected="1" view="pageBreakPreview" topLeftCell="A7" zoomScaleNormal="92" zoomScaleSheetLayoutView="100" workbookViewId="0">
      <selection activeCell="AC14" sqref="AC14"/>
    </sheetView>
  </sheetViews>
  <sheetFormatPr defaultRowHeight="18.75"/>
  <cols>
    <col min="1" max="1" width="3.625" customWidth="1"/>
    <col min="2" max="2" width="6.125" style="7" customWidth="1"/>
    <col min="3" max="3" width="5.875" customWidth="1"/>
    <col min="4" max="5" width="8.125" customWidth="1"/>
    <col min="6" max="6" width="8.125" style="4" customWidth="1"/>
    <col min="7" max="7" width="7.625" style="4" customWidth="1"/>
    <col min="8" max="9" width="7.625" customWidth="1"/>
    <col min="10" max="11" width="8.625" customWidth="1"/>
    <col min="12" max="13" width="5.625" customWidth="1"/>
    <col min="14" max="14" width="5.625" style="5" customWidth="1"/>
    <col min="15" max="15" width="5.25" style="5" customWidth="1"/>
    <col min="16" max="26" width="11.125" style="5" hidden="1" customWidth="1"/>
    <col min="27" max="27" width="11.125" hidden="1" customWidth="1"/>
    <col min="28" max="28" width="11.125" customWidth="1"/>
    <col min="29" max="29" width="9.75" customWidth="1"/>
    <col min="30" max="33" width="11.25" customWidth="1"/>
  </cols>
  <sheetData>
    <row r="1" spans="1:29" ht="18" customHeight="1">
      <c r="A1" s="564" t="s">
        <v>425</v>
      </c>
      <c r="B1" s="564"/>
      <c r="C1" s="564"/>
      <c r="D1" s="564"/>
      <c r="E1" s="564"/>
      <c r="F1" s="564"/>
      <c r="G1" s="564"/>
      <c r="H1" s="564"/>
      <c r="I1" s="564"/>
      <c r="J1" s="564"/>
      <c r="K1" s="564"/>
      <c r="L1" s="564"/>
      <c r="M1" s="564"/>
      <c r="N1" s="564"/>
      <c r="O1" s="564"/>
      <c r="P1" s="62"/>
      <c r="R1" s="71"/>
      <c r="S1" s="72"/>
      <c r="T1" s="846" t="s">
        <v>31</v>
      </c>
      <c r="U1" s="847"/>
      <c r="V1" s="73"/>
      <c r="W1" s="7"/>
      <c r="AA1" s="5"/>
    </row>
    <row r="2" spans="1:29" ht="18" customHeight="1">
      <c r="A2" s="564"/>
      <c r="B2" s="564"/>
      <c r="C2" s="564"/>
      <c r="D2" s="564"/>
      <c r="E2" s="564"/>
      <c r="F2" s="564"/>
      <c r="G2" s="564"/>
      <c r="H2" s="564"/>
      <c r="I2" s="564"/>
      <c r="J2" s="564"/>
      <c r="K2" s="564"/>
      <c r="L2" s="564"/>
      <c r="M2" s="564"/>
      <c r="N2" s="564"/>
      <c r="O2" s="564"/>
      <c r="P2" s="62"/>
      <c r="R2" s="74" t="s">
        <v>6</v>
      </c>
      <c r="S2" s="75" t="s">
        <v>159</v>
      </c>
      <c r="T2" s="848">
        <v>0</v>
      </c>
      <c r="U2" s="849"/>
      <c r="V2" s="76"/>
      <c r="W2" s="753" t="s">
        <v>42</v>
      </c>
      <c r="X2" s="753"/>
      <c r="Y2" s="3" t="s">
        <v>47</v>
      </c>
      <c r="AA2" s="7" t="s">
        <v>602</v>
      </c>
      <c r="AB2" s="5"/>
      <c r="AC2" s="5"/>
    </row>
    <row r="3" spans="1:29" ht="18" customHeight="1" thickBot="1">
      <c r="A3" s="77"/>
      <c r="M3" s="853" t="s">
        <v>589</v>
      </c>
      <c r="N3" s="853"/>
      <c r="O3" s="853"/>
      <c r="P3" s="63"/>
      <c r="R3" s="78"/>
      <c r="S3" s="79" t="s">
        <v>158</v>
      </c>
      <c r="T3" s="832">
        <v>260</v>
      </c>
      <c r="U3" s="833"/>
      <c r="V3" s="80"/>
      <c r="W3" s="81" t="s">
        <v>3</v>
      </c>
      <c r="X3" s="81" t="s">
        <v>0</v>
      </c>
      <c r="Y3" s="6">
        <v>0.2</v>
      </c>
      <c r="AA3" s="7" t="s">
        <v>603</v>
      </c>
      <c r="AB3" s="5"/>
    </row>
    <row r="4" spans="1:29" ht="18" customHeight="1" thickBot="1">
      <c r="A4" s="648" t="s">
        <v>37</v>
      </c>
      <c r="B4" s="649"/>
      <c r="C4" s="649"/>
      <c r="D4" s="815">
        <v>45488</v>
      </c>
      <c r="E4" s="816"/>
      <c r="F4" s="817"/>
      <c r="G4" s="386" t="s">
        <v>34</v>
      </c>
      <c r="H4" s="708" t="s">
        <v>609</v>
      </c>
      <c r="I4" s="708"/>
      <c r="J4" s="708"/>
      <c r="K4" s="708"/>
      <c r="L4" s="708"/>
      <c r="M4" s="708"/>
      <c r="N4" s="708"/>
      <c r="O4" s="709"/>
      <c r="P4" s="23"/>
      <c r="R4" s="82"/>
      <c r="S4" s="83" t="s">
        <v>160</v>
      </c>
      <c r="T4" s="838">
        <f>L21/MAX(F15,F16)*9.8</f>
        <v>0</v>
      </c>
      <c r="U4" s="839"/>
      <c r="V4" s="7"/>
      <c r="W4" s="81"/>
      <c r="X4" s="81"/>
      <c r="Y4" s="6">
        <v>0.3</v>
      </c>
      <c r="AA4" s="7" t="s">
        <v>604</v>
      </c>
    </row>
    <row r="5" spans="1:29" ht="18" customHeight="1" thickBot="1">
      <c r="A5" s="710" t="s">
        <v>595</v>
      </c>
      <c r="B5" s="711"/>
      <c r="C5" s="711"/>
      <c r="D5" s="712" t="s">
        <v>602</v>
      </c>
      <c r="E5" s="713"/>
      <c r="F5" s="713"/>
      <c r="G5" s="382" t="s">
        <v>596</v>
      </c>
      <c r="H5" s="376"/>
      <c r="I5" s="383" t="str">
        <f>IF(D5="一級建築士","大臣",IF(D5="","","知事"))</f>
        <v>大臣</v>
      </c>
      <c r="J5" s="375" t="s">
        <v>597</v>
      </c>
      <c r="K5" s="384"/>
      <c r="L5" s="385" t="s">
        <v>598</v>
      </c>
      <c r="M5" s="714" t="s">
        <v>610</v>
      </c>
      <c r="N5" s="714"/>
      <c r="O5" s="715"/>
      <c r="P5" s="27"/>
      <c r="R5" s="85" t="s">
        <v>17</v>
      </c>
      <c r="S5" s="86" t="s">
        <v>11</v>
      </c>
      <c r="T5" s="504">
        <v>1300</v>
      </c>
      <c r="U5" s="505"/>
      <c r="V5" s="7"/>
      <c r="W5" s="87" t="s">
        <v>4</v>
      </c>
      <c r="X5" s="87" t="s">
        <v>1</v>
      </c>
      <c r="Y5" s="88">
        <v>1</v>
      </c>
    </row>
    <row r="6" spans="1:29" ht="18" customHeight="1" thickBot="1">
      <c r="A6" s="710" t="s">
        <v>599</v>
      </c>
      <c r="B6" s="711"/>
      <c r="C6" s="711"/>
      <c r="D6" s="712" t="s">
        <v>602</v>
      </c>
      <c r="E6" s="713"/>
      <c r="F6" s="375" t="s">
        <v>600</v>
      </c>
      <c r="G6" s="126" t="s">
        <v>596</v>
      </c>
      <c r="H6" s="376"/>
      <c r="I6" s="377" t="s">
        <v>601</v>
      </c>
      <c r="J6" s="375" t="s">
        <v>597</v>
      </c>
      <c r="K6" s="885"/>
      <c r="L6" s="886"/>
      <c r="M6" s="139"/>
      <c r="N6" s="139"/>
      <c r="O6" s="139"/>
      <c r="P6" s="20"/>
      <c r="Q6" s="14"/>
      <c r="R6" s="90"/>
      <c r="S6" s="79" t="s">
        <v>12</v>
      </c>
      <c r="T6" s="515">
        <v>1000</v>
      </c>
      <c r="U6" s="516"/>
      <c r="W6" s="1" t="s">
        <v>5</v>
      </c>
      <c r="X6" s="1" t="s">
        <v>2</v>
      </c>
      <c r="Y6" s="91">
        <v>1</v>
      </c>
      <c r="AA6" s="5"/>
    </row>
    <row r="7" spans="1:29" ht="18" customHeight="1">
      <c r="A7" s="89"/>
      <c r="B7" s="89"/>
      <c r="C7" s="4"/>
      <c r="D7" s="4"/>
      <c r="E7" s="4"/>
      <c r="F7"/>
      <c r="G7"/>
      <c r="H7" s="4"/>
      <c r="I7" s="4"/>
      <c r="J7" s="4"/>
      <c r="K7" s="4"/>
      <c r="L7" s="4"/>
      <c r="M7" s="4"/>
      <c r="N7" s="4"/>
      <c r="O7" s="4"/>
      <c r="P7" s="20"/>
      <c r="Q7" s="9"/>
      <c r="R7" s="93"/>
      <c r="S7" s="83" t="s">
        <v>13</v>
      </c>
      <c r="T7" s="838">
        <v>650</v>
      </c>
      <c r="U7" s="839"/>
      <c r="V7" s="94"/>
      <c r="W7" s="887" t="s">
        <v>180</v>
      </c>
      <c r="X7" s="887"/>
      <c r="Y7" s="288">
        <f>IF(F15&gt;0,F15/F16,"")</f>
        <v>0.76641596760196706</v>
      </c>
      <c r="AA7" s="5"/>
    </row>
    <row r="8" spans="1:29" s="8" customFormat="1" ht="18" customHeight="1">
      <c r="A8" s="92" t="s">
        <v>296</v>
      </c>
      <c r="B8" s="7"/>
      <c r="C8"/>
      <c r="D8"/>
      <c r="E8"/>
      <c r="F8" s="4"/>
      <c r="G8" s="4"/>
      <c r="H8"/>
      <c r="I8" s="4"/>
      <c r="J8" s="4"/>
      <c r="K8" s="4"/>
      <c r="L8" s="4"/>
      <c r="M8" s="4"/>
      <c r="N8" s="4"/>
      <c r="O8" s="4"/>
      <c r="P8" s="22"/>
      <c r="Q8" s="5"/>
      <c r="R8" s="744" t="s">
        <v>163</v>
      </c>
      <c r="S8" s="99" t="s">
        <v>164</v>
      </c>
      <c r="T8" s="775">
        <v>100</v>
      </c>
      <c r="U8" s="776"/>
      <c r="V8" s="5"/>
      <c r="W8" s="722"/>
      <c r="X8" s="722"/>
      <c r="Y8" s="100"/>
      <c r="Z8" s="5"/>
      <c r="AA8" s="94"/>
    </row>
    <row r="9" spans="1:29" ht="18" customHeight="1" thickBot="1">
      <c r="A9" s="96" t="s">
        <v>426</v>
      </c>
      <c r="B9" s="97"/>
      <c r="C9" s="8"/>
      <c r="D9" s="8"/>
      <c r="E9" s="8"/>
      <c r="F9" s="98"/>
      <c r="G9" s="98"/>
      <c r="H9" s="8"/>
      <c r="I9" s="98"/>
      <c r="J9" s="98"/>
      <c r="K9" s="98"/>
      <c r="L9" s="98"/>
      <c r="M9" s="98"/>
      <c r="N9" s="9"/>
      <c r="O9" s="9"/>
      <c r="P9" s="21"/>
      <c r="R9" s="745"/>
      <c r="S9" s="101" t="s">
        <v>157</v>
      </c>
      <c r="T9" s="777">
        <f>ROUNDUP(L24*N24/1000*9.8,-1)</f>
        <v>0</v>
      </c>
      <c r="U9" s="778"/>
      <c r="V9" s="606" t="s">
        <v>167</v>
      </c>
      <c r="W9" s="607"/>
      <c r="X9" s="94"/>
      <c r="Y9" s="94"/>
      <c r="Z9" s="94"/>
      <c r="AA9" s="5"/>
    </row>
    <row r="10" spans="1:29" ht="18" customHeight="1" thickBot="1">
      <c r="P10" s="23"/>
      <c r="R10" s="103" t="s">
        <v>23</v>
      </c>
      <c r="S10" s="104"/>
      <c r="T10" s="601">
        <v>610</v>
      </c>
      <c r="U10" s="602"/>
      <c r="V10" s="102"/>
      <c r="W10" s="102"/>
      <c r="X10" s="105"/>
      <c r="Y10" s="105"/>
      <c r="AA10" s="5"/>
    </row>
    <row r="11" spans="1:29" ht="18" customHeight="1" thickBot="1">
      <c r="B11" s="587" t="s">
        <v>388</v>
      </c>
      <c r="C11" s="648" t="s">
        <v>42</v>
      </c>
      <c r="D11" s="649"/>
      <c r="E11" s="650"/>
      <c r="F11" s="651" t="s">
        <v>43</v>
      </c>
      <c r="G11" s="652"/>
      <c r="H11" s="850" t="s">
        <v>166</v>
      </c>
      <c r="I11" s="851"/>
      <c r="J11" s="851"/>
      <c r="K11" s="851"/>
      <c r="L11" s="851"/>
      <c r="M11" s="851"/>
      <c r="N11" s="851"/>
      <c r="O11" s="852"/>
      <c r="P11" s="64"/>
      <c r="R11" s="78" t="s">
        <v>24</v>
      </c>
      <c r="S11" s="79" t="s">
        <v>327</v>
      </c>
      <c r="T11" s="515">
        <v>600</v>
      </c>
      <c r="U11" s="516"/>
      <c r="V11" s="102"/>
      <c r="W11" s="102"/>
      <c r="X11" s="779"/>
      <c r="Y11" s="779"/>
      <c r="AA11" s="5"/>
    </row>
    <row r="12" spans="1:29" ht="18" customHeight="1" thickBot="1">
      <c r="B12" s="633"/>
      <c r="C12" s="911" t="s">
        <v>29</v>
      </c>
      <c r="D12" s="912"/>
      <c r="E12" s="913"/>
      <c r="F12" s="906">
        <v>2.85</v>
      </c>
      <c r="G12" s="907"/>
      <c r="H12" s="908" t="s">
        <v>405</v>
      </c>
      <c r="I12" s="909"/>
      <c r="J12" s="909"/>
      <c r="K12" s="909"/>
      <c r="L12" s="909"/>
      <c r="M12" s="909"/>
      <c r="N12" s="909"/>
      <c r="O12" s="910"/>
      <c r="P12" s="64"/>
      <c r="R12" s="107" t="s">
        <v>24</v>
      </c>
      <c r="S12" s="108" t="s">
        <v>328</v>
      </c>
      <c r="T12" s="513">
        <v>1300</v>
      </c>
      <c r="U12" s="514"/>
      <c r="V12" s="102"/>
      <c r="W12" s="102"/>
      <c r="X12" s="821" t="s">
        <v>231</v>
      </c>
      <c r="Y12" s="822"/>
      <c r="AA12" s="5"/>
    </row>
    <row r="13" spans="1:29" ht="18" customHeight="1">
      <c r="B13" s="633"/>
      <c r="C13" s="533" t="s">
        <v>30</v>
      </c>
      <c r="D13" s="534"/>
      <c r="E13" s="535"/>
      <c r="F13" s="787">
        <v>3.056</v>
      </c>
      <c r="G13" s="788"/>
      <c r="H13" s="789" t="s">
        <v>406</v>
      </c>
      <c r="I13" s="790"/>
      <c r="J13" s="790"/>
      <c r="K13" s="790"/>
      <c r="L13" s="790"/>
      <c r="M13" s="790"/>
      <c r="N13" s="790"/>
      <c r="O13" s="791"/>
      <c r="P13" s="65"/>
      <c r="R13" s="71"/>
      <c r="S13" s="109"/>
      <c r="T13" s="780" t="s">
        <v>53</v>
      </c>
      <c r="U13" s="781"/>
      <c r="X13" s="110" t="s">
        <v>25</v>
      </c>
      <c r="Y13" s="111" t="s">
        <v>26</v>
      </c>
      <c r="AA13" s="5"/>
    </row>
    <row r="14" spans="1:29" ht="18" customHeight="1">
      <c r="B14" s="633"/>
      <c r="C14" s="619" t="s">
        <v>294</v>
      </c>
      <c r="D14" s="620"/>
      <c r="E14" s="621"/>
      <c r="F14" s="782">
        <v>0.2</v>
      </c>
      <c r="G14" s="783"/>
      <c r="H14" s="784" t="s">
        <v>46</v>
      </c>
      <c r="I14" s="785"/>
      <c r="J14" s="785"/>
      <c r="K14" s="785"/>
      <c r="L14" s="785"/>
      <c r="M14" s="785"/>
      <c r="N14" s="785"/>
      <c r="O14" s="786"/>
      <c r="P14" s="65"/>
      <c r="R14" s="511" t="s">
        <v>9</v>
      </c>
      <c r="S14" s="99" t="s">
        <v>27</v>
      </c>
      <c r="T14" s="775">
        <v>1000</v>
      </c>
      <c r="U14" s="776"/>
      <c r="X14" s="112">
        <f t="shared" ref="X14:X20" si="0">ROUNDUP(T14*((6*$F$13*2+16.5*$F$13*2)*(1-0.09)/(6*16.5)),-1)</f>
        <v>1270</v>
      </c>
      <c r="Y14" s="113">
        <f t="shared" ref="Y14:Y20" si="1">ROUNDUP(T14*((6*$F$12*2+16.5*$F$12*2)*(1-0.09)/(6*16.5)),-1)</f>
        <v>1180</v>
      </c>
      <c r="AA14" s="5"/>
    </row>
    <row r="15" spans="1:29" ht="18" customHeight="1">
      <c r="B15" s="633"/>
      <c r="C15" s="533" t="s">
        <v>44</v>
      </c>
      <c r="D15" s="534"/>
      <c r="E15" s="535"/>
      <c r="F15" s="830">
        <v>52.99</v>
      </c>
      <c r="G15" s="831"/>
      <c r="H15" s="784" t="s">
        <v>302</v>
      </c>
      <c r="I15" s="785"/>
      <c r="J15" s="785"/>
      <c r="K15" s="785"/>
      <c r="L15" s="785"/>
      <c r="M15" s="785"/>
      <c r="N15" s="785"/>
      <c r="O15" s="786"/>
      <c r="P15" s="65"/>
      <c r="R15" s="554"/>
      <c r="S15" s="79" t="s">
        <v>28</v>
      </c>
      <c r="T15" s="832">
        <v>890</v>
      </c>
      <c r="U15" s="833"/>
      <c r="X15" s="112">
        <f t="shared" si="0"/>
        <v>1130</v>
      </c>
      <c r="Y15" s="113">
        <f t="shared" si="1"/>
        <v>1050</v>
      </c>
      <c r="AA15" s="5"/>
    </row>
    <row r="16" spans="1:29" ht="18" customHeight="1">
      <c r="B16" s="633"/>
      <c r="C16" s="533" t="s">
        <v>45</v>
      </c>
      <c r="D16" s="534"/>
      <c r="E16" s="535"/>
      <c r="F16" s="830">
        <v>69.14</v>
      </c>
      <c r="G16" s="831"/>
      <c r="H16" s="784" t="s">
        <v>302</v>
      </c>
      <c r="I16" s="785"/>
      <c r="J16" s="785"/>
      <c r="K16" s="785"/>
      <c r="L16" s="785"/>
      <c r="M16" s="785"/>
      <c r="N16" s="785"/>
      <c r="O16" s="786"/>
      <c r="P16" s="65"/>
      <c r="R16" s="554"/>
      <c r="S16" s="79" t="s">
        <v>14</v>
      </c>
      <c r="T16" s="832">
        <v>600</v>
      </c>
      <c r="U16" s="833"/>
      <c r="X16" s="112">
        <f t="shared" si="0"/>
        <v>760</v>
      </c>
      <c r="Y16" s="113">
        <f t="shared" si="1"/>
        <v>710</v>
      </c>
      <c r="AA16" s="5"/>
    </row>
    <row r="17" spans="1:30" ht="18" customHeight="1">
      <c r="B17" s="633"/>
      <c r="C17" s="533" t="s">
        <v>40</v>
      </c>
      <c r="D17" s="534"/>
      <c r="E17" s="535"/>
      <c r="F17" s="804" t="s">
        <v>12</v>
      </c>
      <c r="G17" s="805"/>
      <c r="H17" s="784" t="s">
        <v>233</v>
      </c>
      <c r="I17" s="785"/>
      <c r="J17" s="785"/>
      <c r="K17" s="785"/>
      <c r="L17" s="785"/>
      <c r="M17" s="785"/>
      <c r="N17" s="785"/>
      <c r="O17" s="786"/>
      <c r="P17" s="65"/>
      <c r="R17" s="554"/>
      <c r="S17" s="79" t="s">
        <v>15</v>
      </c>
      <c r="T17" s="832">
        <v>500</v>
      </c>
      <c r="U17" s="833"/>
      <c r="X17" s="112">
        <f t="shared" si="0"/>
        <v>640</v>
      </c>
      <c r="Y17" s="113">
        <f t="shared" si="1"/>
        <v>590</v>
      </c>
      <c r="AA17" s="5"/>
    </row>
    <row r="18" spans="1:30" ht="18" customHeight="1">
      <c r="B18" s="633"/>
      <c r="C18" s="533" t="s">
        <v>41</v>
      </c>
      <c r="D18" s="534"/>
      <c r="E18" s="535"/>
      <c r="F18" s="806" t="s">
        <v>402</v>
      </c>
      <c r="G18" s="807"/>
      <c r="H18" s="784" t="s">
        <v>233</v>
      </c>
      <c r="I18" s="785"/>
      <c r="J18" s="785"/>
      <c r="K18" s="785"/>
      <c r="L18" s="785"/>
      <c r="M18" s="785"/>
      <c r="N18" s="785"/>
      <c r="O18" s="786"/>
      <c r="P18" s="66"/>
      <c r="R18" s="512"/>
      <c r="S18" s="83" t="s">
        <v>315</v>
      </c>
      <c r="T18" s="838">
        <v>350</v>
      </c>
      <c r="U18" s="839"/>
      <c r="X18" s="112">
        <f t="shared" si="0"/>
        <v>450</v>
      </c>
      <c r="Y18" s="113">
        <f t="shared" si="1"/>
        <v>420</v>
      </c>
      <c r="AA18" s="5"/>
    </row>
    <row r="19" spans="1:30" ht="18" customHeight="1">
      <c r="B19" s="633"/>
      <c r="C19" s="455" t="s">
        <v>290</v>
      </c>
      <c r="D19" s="544"/>
      <c r="E19" s="456"/>
      <c r="F19" s="794" t="s">
        <v>413</v>
      </c>
      <c r="G19" s="795"/>
      <c r="H19" s="609" t="s">
        <v>391</v>
      </c>
      <c r="I19" s="609"/>
      <c r="J19" s="609"/>
      <c r="K19" s="609"/>
      <c r="L19" s="810" t="str">
        <f>IF(F19="あり(任意入力)",IF(L21=0,"下記へ数値入力してください。",""),IF(L21=0,"下記への入力は不要です。","下記の数値を削除してください"))</f>
        <v>下記への入力は不要です。</v>
      </c>
      <c r="M19" s="810"/>
      <c r="N19" s="810"/>
      <c r="O19" s="811"/>
      <c r="P19" s="34"/>
      <c r="R19" s="834" t="s">
        <v>20</v>
      </c>
      <c r="S19" s="99" t="s">
        <v>165</v>
      </c>
      <c r="T19" s="775">
        <v>70</v>
      </c>
      <c r="U19" s="776"/>
      <c r="X19" s="112">
        <f t="shared" si="0"/>
        <v>90</v>
      </c>
      <c r="Y19" s="113">
        <f t="shared" si="1"/>
        <v>90</v>
      </c>
      <c r="AA19" s="5"/>
    </row>
    <row r="20" spans="1:30" ht="18" customHeight="1">
      <c r="B20" s="633"/>
      <c r="C20" s="455"/>
      <c r="D20" s="544"/>
      <c r="E20" s="456"/>
      <c r="F20" s="794"/>
      <c r="G20" s="795"/>
      <c r="H20" s="611"/>
      <c r="I20" s="611"/>
      <c r="J20" s="611"/>
      <c r="K20" s="611"/>
      <c r="L20" s="501" t="s">
        <v>325</v>
      </c>
      <c r="M20" s="502"/>
      <c r="N20" s="502"/>
      <c r="O20" s="503"/>
      <c r="P20" s="33"/>
      <c r="R20" s="835"/>
      <c r="S20" s="83" t="s">
        <v>157</v>
      </c>
      <c r="T20" s="836">
        <f>ROUNDUP(L27*N27*9.8/1000+L28*N28*9.8/1000,-1)</f>
        <v>0</v>
      </c>
      <c r="U20" s="837"/>
      <c r="V20" s="5" t="s">
        <v>167</v>
      </c>
      <c r="X20" s="112">
        <f t="shared" si="0"/>
        <v>0</v>
      </c>
      <c r="Y20" s="113">
        <f t="shared" si="1"/>
        <v>0</v>
      </c>
      <c r="AA20" s="5"/>
    </row>
    <row r="21" spans="1:30" ht="18" customHeight="1" thickBot="1">
      <c r="B21" s="633"/>
      <c r="C21" s="545"/>
      <c r="D21" s="546"/>
      <c r="E21" s="547"/>
      <c r="F21" s="808"/>
      <c r="G21" s="809"/>
      <c r="H21" s="613"/>
      <c r="I21" s="613"/>
      <c r="J21" s="613"/>
      <c r="K21" s="613"/>
      <c r="L21" s="812"/>
      <c r="M21" s="813"/>
      <c r="N21" s="813"/>
      <c r="O21" s="814"/>
      <c r="P21" s="67"/>
      <c r="R21" s="116" t="s">
        <v>21</v>
      </c>
      <c r="S21" s="117" t="s">
        <v>22</v>
      </c>
      <c r="T21" s="857">
        <v>400</v>
      </c>
      <c r="U21" s="858"/>
      <c r="X21" s="118">
        <f>ROUNDUP(T21*((6*$F$13*2+16.5*$F$13*2)*0.09/(6*16.5)),-1)</f>
        <v>60</v>
      </c>
      <c r="Y21" s="119">
        <f>ROUNDUP(T21*((6*$F$12*2+16.5*$F$12*2)*0.09/(6*16.5)),-1)</f>
        <v>50</v>
      </c>
      <c r="AA21" s="5"/>
    </row>
    <row r="22" spans="1:30" ht="18" customHeight="1">
      <c r="B22" s="633"/>
      <c r="C22" s="462" t="s">
        <v>291</v>
      </c>
      <c r="D22" s="626"/>
      <c r="E22" s="626"/>
      <c r="F22" s="792" t="s">
        <v>164</v>
      </c>
      <c r="G22" s="793"/>
      <c r="H22" s="609" t="s">
        <v>295</v>
      </c>
      <c r="I22" s="609"/>
      <c r="J22" s="609"/>
      <c r="K22" s="609"/>
      <c r="L22" s="519" t="str">
        <f>IF(F22="任意入力",IF(L24*N24=0,"下記へ数値入力してください。",""),IF(L24+N24=0,"下記への入力は不要です。","下記の数値を削除してください"))</f>
        <v>下記への入力は不要です。</v>
      </c>
      <c r="M22" s="519"/>
      <c r="N22" s="519"/>
      <c r="O22" s="520"/>
      <c r="P22" s="68"/>
      <c r="R22" s="120"/>
      <c r="S22" s="121"/>
      <c r="T22" s="854" t="s">
        <v>33</v>
      </c>
      <c r="U22" s="855"/>
      <c r="V22" s="2"/>
      <c r="AA22" s="5"/>
    </row>
    <row r="23" spans="1:30" ht="18" customHeight="1" thickBot="1">
      <c r="B23" s="633"/>
      <c r="C23" s="464"/>
      <c r="D23" s="627"/>
      <c r="E23" s="627"/>
      <c r="F23" s="794"/>
      <c r="G23" s="795"/>
      <c r="H23" s="611"/>
      <c r="I23" s="611"/>
      <c r="J23" s="611"/>
      <c r="K23" s="611"/>
      <c r="L23" s="856" t="s">
        <v>169</v>
      </c>
      <c r="M23" s="800"/>
      <c r="N23" s="800" t="s">
        <v>168</v>
      </c>
      <c r="O23" s="801"/>
      <c r="P23" s="55"/>
      <c r="R23" s="122" t="s">
        <v>16</v>
      </c>
      <c r="S23" s="123" t="s">
        <v>32</v>
      </c>
      <c r="T23" s="873">
        <v>200</v>
      </c>
      <c r="U23" s="874"/>
      <c r="X23" s="11"/>
      <c r="Y23" s="11"/>
      <c r="AA23" s="5"/>
    </row>
    <row r="24" spans="1:30" ht="18" customHeight="1" thickBot="1">
      <c r="B24" s="633"/>
      <c r="C24" s="628"/>
      <c r="D24" s="629"/>
      <c r="E24" s="629"/>
      <c r="F24" s="808"/>
      <c r="G24" s="809"/>
      <c r="H24" s="613"/>
      <c r="I24" s="613"/>
      <c r="J24" s="613"/>
      <c r="K24" s="613"/>
      <c r="L24" s="802"/>
      <c r="M24" s="803"/>
      <c r="N24" s="798"/>
      <c r="O24" s="799"/>
      <c r="P24" s="67"/>
      <c r="R24" s="76"/>
      <c r="S24"/>
      <c r="T24" s="76"/>
      <c r="U24" s="76"/>
      <c r="X24" s="11"/>
      <c r="Y24" s="11"/>
      <c r="AA24" s="5"/>
    </row>
    <row r="25" spans="1:30" ht="18" customHeight="1" thickBot="1">
      <c r="B25" s="633"/>
      <c r="C25" s="464" t="s">
        <v>292</v>
      </c>
      <c r="D25" s="627"/>
      <c r="E25" s="627"/>
      <c r="F25" s="792" t="s">
        <v>165</v>
      </c>
      <c r="G25" s="793"/>
      <c r="H25" s="609" t="s">
        <v>588</v>
      </c>
      <c r="I25" s="609"/>
      <c r="J25" s="609"/>
      <c r="K25" s="609"/>
      <c r="L25" s="865" t="str">
        <f>IF(F25="任意入力",IF(L27*N27+L28*N28=0,"下記へ数値入力してください。",""),IF(L27+L28+N27+N28=0,"下記への入力は不要です。","下記の数値を削除してください"))</f>
        <v>下記への入力は不要です。</v>
      </c>
      <c r="M25" s="865"/>
      <c r="N25" s="865"/>
      <c r="O25" s="866"/>
      <c r="P25" s="68"/>
      <c r="Q25" s="55"/>
      <c r="R25" s="125"/>
      <c r="S25" s="126"/>
      <c r="T25" s="888" t="s">
        <v>318</v>
      </c>
      <c r="U25" s="889"/>
      <c r="V25" s="888" t="s">
        <v>319</v>
      </c>
      <c r="W25" s="889"/>
      <c r="X25" s="11"/>
      <c r="AA25" s="5"/>
      <c r="AB25" s="5"/>
    </row>
    <row r="26" spans="1:30" ht="18" customHeight="1">
      <c r="B26" s="633"/>
      <c r="C26" s="464"/>
      <c r="D26" s="627"/>
      <c r="E26" s="627"/>
      <c r="F26" s="794"/>
      <c r="G26" s="795"/>
      <c r="H26" s="611"/>
      <c r="I26" s="611"/>
      <c r="J26" s="611"/>
      <c r="K26" s="611"/>
      <c r="L26" s="856" t="s">
        <v>169</v>
      </c>
      <c r="M26" s="800"/>
      <c r="N26" s="800" t="s">
        <v>168</v>
      </c>
      <c r="O26" s="801"/>
      <c r="P26" s="55"/>
      <c r="Q26" s="29"/>
      <c r="R26" s="127" t="s">
        <v>161</v>
      </c>
      <c r="S26" s="128" t="s">
        <v>175</v>
      </c>
      <c r="T26" s="129">
        <f>((VLOOKUP($F17,S5:U7,2,FALSE)+VLOOKUP($F$19,S2:U4,2,FALSE)+VLOOKUP($F$22,S8:U9,2,FALSE))*$Y$7)/1000</f>
        <v>0.84305756436216384</v>
      </c>
      <c r="U26" s="130" t="s">
        <v>182</v>
      </c>
      <c r="V26" s="129">
        <f>((VLOOKUP($F17,S5:U7,2,FALSE)+VLOOKUP($F$19,S2:U4,2,FALSE))+VLOOKUP($F$22,S8:U9,2,FALSE))/1000</f>
        <v>1.1000000000000001</v>
      </c>
      <c r="W26" s="130" t="s">
        <v>182</v>
      </c>
      <c r="X26" s="7">
        <v>1.186029465704854</v>
      </c>
      <c r="Z26"/>
      <c r="AA26" s="5"/>
    </row>
    <row r="27" spans="1:30" ht="18" customHeight="1">
      <c r="B27" s="633"/>
      <c r="C27" s="464"/>
      <c r="D27" s="627"/>
      <c r="E27" s="627"/>
      <c r="F27" s="794"/>
      <c r="G27" s="795"/>
      <c r="H27" s="611"/>
      <c r="I27" s="611"/>
      <c r="J27" s="611"/>
      <c r="K27" s="611"/>
      <c r="L27" s="867"/>
      <c r="M27" s="868"/>
      <c r="N27" s="869"/>
      <c r="O27" s="870"/>
      <c r="P27" s="55"/>
      <c r="Q27" s="28"/>
      <c r="R27" s="131" t="s">
        <v>162</v>
      </c>
      <c r="S27" s="132" t="s">
        <v>173</v>
      </c>
      <c r="T27" s="133">
        <f>((VLOOKUP($F18,S14:Y18,7,FALSE)+$T$23*$F$12/2.8+VLOOKUP($F25,S19:Y20,7,FALSE)+$Y$21)*$Y$7)/1000</f>
        <v>0.80747396586635811</v>
      </c>
      <c r="U27" s="134" t="s">
        <v>181</v>
      </c>
      <c r="V27" s="133">
        <f>((VLOOKUP($F18,S14:Y18,7,FALSE)+$T$23*$F$12/2.8+VLOOKUP($F25,S19:Y20,7,FALSE)+$Y$21))/1000</f>
        <v>1.0535714285714284</v>
      </c>
      <c r="W27" s="134" t="s">
        <v>181</v>
      </c>
      <c r="X27" s="7">
        <v>1.0542857142857143</v>
      </c>
      <c r="Z27"/>
      <c r="AA27" s="5"/>
    </row>
    <row r="28" spans="1:30" ht="19.899999999999999" customHeight="1" thickBot="1">
      <c r="B28" s="588"/>
      <c r="C28" s="466"/>
      <c r="D28" s="638"/>
      <c r="E28" s="638"/>
      <c r="F28" s="796"/>
      <c r="G28" s="797"/>
      <c r="H28" s="641"/>
      <c r="I28" s="641"/>
      <c r="J28" s="641"/>
      <c r="K28" s="641"/>
      <c r="L28" s="871"/>
      <c r="M28" s="872"/>
      <c r="N28" s="863"/>
      <c r="O28" s="864"/>
      <c r="P28" s="55"/>
      <c r="Q28" s="55"/>
      <c r="R28" s="136" t="s">
        <v>170</v>
      </c>
      <c r="S28" s="137" t="s">
        <v>174</v>
      </c>
      <c r="T28" s="138">
        <f>(T10+T11)*$Y$7/1000</f>
        <v>0.92736332079838024</v>
      </c>
      <c r="U28" s="134" t="s">
        <v>181</v>
      </c>
      <c r="V28" s="138">
        <f>(T10+T12)/1000</f>
        <v>1.91</v>
      </c>
      <c r="W28" s="134" t="s">
        <v>181</v>
      </c>
      <c r="X28" s="7">
        <v>1.91</v>
      </c>
      <c r="Y28" s="11"/>
      <c r="AA28" s="5"/>
    </row>
    <row r="29" spans="1:30" ht="18" customHeight="1">
      <c r="B29" s="7" t="s">
        <v>389</v>
      </c>
      <c r="C29" s="4"/>
      <c r="D29" s="4"/>
      <c r="E29" s="4"/>
      <c r="F29" s="135" t="s">
        <v>390</v>
      </c>
      <c r="H29" s="114"/>
      <c r="I29" s="114"/>
      <c r="J29" s="114"/>
      <c r="K29" s="114"/>
      <c r="L29" s="115"/>
      <c r="M29" s="115"/>
      <c r="N29" s="124"/>
      <c r="O29" s="124"/>
      <c r="P29" s="58"/>
      <c r="Q29" s="55"/>
      <c r="R29" s="131" t="s">
        <v>171</v>
      </c>
      <c r="S29" s="137" t="s">
        <v>172</v>
      </c>
      <c r="T29" s="138">
        <f>(VLOOKUP($F18,S14:Y18,6,FALSE)+T23*$F$13/2.8+VLOOKUP($F25,S19:Y20,6,FALSE)+$X$21)*1/1000</f>
        <v>1.1282857142857141</v>
      </c>
      <c r="U29" s="134" t="s">
        <v>181</v>
      </c>
      <c r="V29" s="138">
        <f>(VLOOKUP($F18,S14:Y18,6,FALSE)+T23*$F$13/2.8+VLOOKUP($F25,S19:Y20,6,FALSE)+$X$21)*1/1000</f>
        <v>1.1282857142857141</v>
      </c>
      <c r="W29" s="134" t="s">
        <v>181</v>
      </c>
      <c r="X29" s="7">
        <v>1.0542857142857143</v>
      </c>
      <c r="Y29" s="11"/>
      <c r="AA29" s="5"/>
    </row>
    <row r="30" spans="1:30" ht="18" customHeight="1" thickBot="1">
      <c r="A30" s="7"/>
      <c r="B30" s="7" t="s">
        <v>392</v>
      </c>
      <c r="C30" s="73"/>
      <c r="D30" s="73"/>
      <c r="E30" s="73"/>
      <c r="F30" s="139"/>
      <c r="G30" s="139"/>
      <c r="H30" s="7"/>
      <c r="I30" s="100"/>
      <c r="J30" s="100"/>
      <c r="K30" s="100"/>
      <c r="L30" s="100"/>
      <c r="M30" s="100"/>
      <c r="N30" s="100"/>
      <c r="O30" s="100"/>
      <c r="P30" s="58"/>
      <c r="Q30" s="24"/>
      <c r="R30" s="141" t="s">
        <v>177</v>
      </c>
      <c r="S30" s="142" t="s">
        <v>176</v>
      </c>
      <c r="T30" s="143">
        <f>IF($Y$7&lt;1,(1-$Y$7)*(VLOOKUP($F17,S5:U7,2,FALSE)+VLOOKUP($F$22,S8:U9,2,FALSE)+VLOOKUP($F$19,S2:U4,2,FALSE))/1000,0)</f>
        <v>0.25694243563783625</v>
      </c>
      <c r="U30" s="144" t="s">
        <v>181</v>
      </c>
      <c r="V30" s="143"/>
      <c r="W30" s="144"/>
      <c r="X30" s="7">
        <v>0.54733686493495204</v>
      </c>
      <c r="Y30" s="722" t="s">
        <v>410</v>
      </c>
      <c r="Z30" s="722"/>
      <c r="AA30" s="5"/>
      <c r="AB30" s="5"/>
      <c r="AC30" s="5"/>
    </row>
    <row r="31" spans="1:30" ht="18" customHeight="1" thickBot="1">
      <c r="A31" s="7"/>
      <c r="C31" s="73"/>
      <c r="D31" s="73"/>
      <c r="E31" s="73"/>
      <c r="F31" s="139"/>
      <c r="G31" s="139"/>
      <c r="H31" s="7"/>
      <c r="I31" s="100"/>
      <c r="J31" s="100"/>
      <c r="K31" s="100"/>
      <c r="L31" s="100"/>
      <c r="M31" s="100"/>
      <c r="N31" s="100"/>
      <c r="O31" s="100"/>
      <c r="P31" s="21"/>
      <c r="Q31" s="21"/>
      <c r="R31" s="892" t="s">
        <v>178</v>
      </c>
      <c r="S31" s="893"/>
      <c r="T31" s="145">
        <f>T26+0.5*T27</f>
        <v>1.2467945472953428</v>
      </c>
      <c r="U31" s="146" t="s">
        <v>181</v>
      </c>
      <c r="V31" s="145">
        <f>V26+0.5*V27</f>
        <v>1.6267857142857143</v>
      </c>
      <c r="W31" s="146" t="s">
        <v>181</v>
      </c>
      <c r="X31" s="7">
        <v>1.7131723228477111</v>
      </c>
      <c r="Y31" s="87" t="s">
        <v>411</v>
      </c>
      <c r="Z31" s="87" t="s">
        <v>412</v>
      </c>
      <c r="AA31" s="5"/>
      <c r="AB31" s="5"/>
      <c r="AC31" s="5"/>
    </row>
    <row r="32" spans="1:30" ht="18" customHeight="1" thickBot="1">
      <c r="B32" s="587" t="s">
        <v>36</v>
      </c>
      <c r="C32" s="589" t="s">
        <v>300</v>
      </c>
      <c r="D32" s="590"/>
      <c r="E32" s="591"/>
      <c r="F32" s="882" t="s">
        <v>25</v>
      </c>
      <c r="G32" s="921"/>
      <c r="H32" s="595" t="s">
        <v>26</v>
      </c>
      <c r="I32" s="597"/>
      <c r="J32" s="139"/>
      <c r="K32" s="139"/>
      <c r="L32" s="139"/>
      <c r="M32" s="139"/>
      <c r="P32" s="21"/>
      <c r="Q32" s="21"/>
      <c r="R32" s="859" t="s">
        <v>179</v>
      </c>
      <c r="S32" s="860"/>
      <c r="T32" s="148">
        <f>T26+T27+T28+0.5*T29+T30</f>
        <v>3.3989801438075951</v>
      </c>
      <c r="U32" s="149" t="s">
        <v>181</v>
      </c>
      <c r="V32" s="148">
        <f>V26+V27+V28+0.5*V29</f>
        <v>4.6277142857142852</v>
      </c>
      <c r="W32" s="149" t="s">
        <v>181</v>
      </c>
      <c r="X32" s="7">
        <v>5.2247949020683766</v>
      </c>
      <c r="Y32" s="87">
        <f>IFERROR(ROUNDUP(((1+(1/SQRT(T32/T32)-T32/T32)*2*0.03*(0.9+$F$12+$F$13+0.5)/(1+3*0.03*(0.9+F$12+F$13+0.5)))*$F$14*$Y$5*$Y$6)/0.0196*T32,0),"")</f>
        <v>35</v>
      </c>
      <c r="Z32" s="87">
        <f>IFERROR(ROUNDUP(((1+(1/SQRT(T31/T32)-T31/T32)*2*0.03*(0.9+F$12+F$13+0.5)/(1+3*0.03*(0.9+F$12+F$13+0.5)))*$F$14*$Y$5*$Y$6)/0.0196*T31/$Y$7,0),"")</f>
        <v>23</v>
      </c>
      <c r="AA32" s="5"/>
      <c r="AB32" s="5"/>
      <c r="AC32" s="5"/>
      <c r="AD32" s="5"/>
    </row>
    <row r="33" spans="1:37" ht="18" customHeight="1" thickBot="1">
      <c r="B33" s="588"/>
      <c r="C33" s="592"/>
      <c r="D33" s="593"/>
      <c r="E33" s="594"/>
      <c r="F33" s="598">
        <f>IF(L19="下記へ数値入力してください。","",IF(L22="下記へ数値入力してください。","",IF(L25="下記へ数値入力してください。","",Y32)))</f>
        <v>35</v>
      </c>
      <c r="G33" s="599"/>
      <c r="H33" s="924">
        <f>IF(L19="下記へ数値入力してください。","",IF(L22="下記へ数値入力してください。","",IF(L25="下記へ数値入力してください。","",Z32)))</f>
        <v>23</v>
      </c>
      <c r="I33" s="925"/>
      <c r="J33" s="147"/>
      <c r="K33" s="147"/>
      <c r="L33" s="147"/>
      <c r="M33" s="147"/>
      <c r="P33" s="21"/>
      <c r="Q33" s="21"/>
      <c r="R33" s="80"/>
      <c r="S33" s="80"/>
      <c r="T33" s="151"/>
      <c r="U33" s="7"/>
      <c r="V33" s="151"/>
      <c r="W33" s="7"/>
      <c r="X33" s="11"/>
      <c r="Y33" s="11"/>
      <c r="AA33" s="5"/>
      <c r="AB33" s="5"/>
      <c r="AC33" s="5"/>
      <c r="AD33" s="5"/>
    </row>
    <row r="34" spans="1:37" ht="18" customHeight="1">
      <c r="B34" s="150"/>
      <c r="C34" s="10"/>
      <c r="D34" s="10"/>
      <c r="E34" s="10"/>
      <c r="F34" s="147"/>
      <c r="G34" s="147"/>
      <c r="H34" s="147"/>
      <c r="I34" s="147"/>
      <c r="J34" s="147"/>
      <c r="K34" s="147"/>
      <c r="L34" s="147"/>
      <c r="M34" s="147"/>
      <c r="P34" s="22"/>
      <c r="Q34" s="21"/>
      <c r="R34" s="152"/>
      <c r="S34" s="140"/>
      <c r="T34" s="140"/>
      <c r="Y34" s="11"/>
      <c r="AA34" s="5"/>
      <c r="AB34" s="5"/>
      <c r="AC34" s="5"/>
      <c r="AD34" s="5"/>
    </row>
    <row r="35" spans="1:37" ht="18" customHeight="1">
      <c r="A35" s="96" t="s">
        <v>349</v>
      </c>
      <c r="B35" s="97"/>
      <c r="C35" s="8"/>
      <c r="D35" s="8"/>
      <c r="E35" s="8"/>
      <c r="F35" s="98"/>
      <c r="G35" s="98"/>
      <c r="H35" s="8"/>
      <c r="I35" s="98"/>
      <c r="J35" s="98"/>
      <c r="K35" s="98"/>
      <c r="L35" s="98"/>
      <c r="M35" s="98"/>
      <c r="N35" s="9"/>
      <c r="O35" s="9"/>
      <c r="P35" s="22"/>
      <c r="Q35" s="21"/>
      <c r="R35" s="152"/>
      <c r="S35" s="140"/>
      <c r="T35" s="140"/>
      <c r="Y35" s="11"/>
      <c r="AA35" s="5"/>
      <c r="AB35" s="5"/>
      <c r="AC35" s="5"/>
      <c r="AD35" s="5"/>
      <c r="AF35" s="5"/>
      <c r="AG35" s="5"/>
    </row>
    <row r="36" spans="1:37" ht="18" customHeight="1" thickBot="1">
      <c r="A36" s="97" t="s">
        <v>427</v>
      </c>
      <c r="B36" s="97"/>
      <c r="C36" s="8"/>
      <c r="D36" s="8"/>
      <c r="E36" s="8"/>
      <c r="F36" s="98"/>
      <c r="G36" s="98"/>
      <c r="H36" s="8"/>
      <c r="I36" s="98"/>
      <c r="J36" s="98"/>
      <c r="K36" s="98"/>
      <c r="L36" s="98"/>
      <c r="M36" s="98"/>
      <c r="N36" s="9"/>
      <c r="O36" s="9"/>
      <c r="P36" s="22"/>
      <c r="Q36" s="21"/>
      <c r="R36" s="80"/>
      <c r="S36" s="80"/>
      <c r="T36" s="7"/>
      <c r="U36" s="7"/>
      <c r="Y36" s="11"/>
      <c r="Z36" s="11"/>
      <c r="AA36" s="5"/>
      <c r="AB36" s="5"/>
      <c r="AC36" s="5"/>
      <c r="AE36" s="5"/>
      <c r="AF36" s="5"/>
      <c r="AG36" s="5"/>
    </row>
    <row r="37" spans="1:37" ht="18" customHeight="1">
      <c r="A37" s="94" t="s">
        <v>428</v>
      </c>
      <c r="B37" s="97"/>
      <c r="C37" s="8"/>
      <c r="D37" s="8"/>
      <c r="E37" s="8"/>
      <c r="F37" s="98"/>
      <c r="G37" s="98"/>
      <c r="H37" s="8"/>
      <c r="I37" s="98"/>
      <c r="J37" s="98"/>
      <c r="K37" s="98"/>
      <c r="L37" s="98"/>
      <c r="M37" s="98"/>
      <c r="N37" s="9"/>
      <c r="O37" s="9"/>
      <c r="P37" s="20"/>
      <c r="Q37" s="21"/>
      <c r="R37" s="671" t="s">
        <v>208</v>
      </c>
      <c r="S37" s="672"/>
      <c r="T37" s="675" t="s">
        <v>205</v>
      </c>
      <c r="U37" s="894" t="s">
        <v>206</v>
      </c>
      <c r="V37" s="890" t="s">
        <v>342</v>
      </c>
      <c r="W37" s="890" t="s">
        <v>343</v>
      </c>
      <c r="X37" s="819" t="s">
        <v>320</v>
      </c>
      <c r="Y37" s="433" t="s">
        <v>344</v>
      </c>
      <c r="Z37" s="653" t="s">
        <v>207</v>
      </c>
      <c r="AA37" s="11"/>
      <c r="AB37" s="11"/>
      <c r="AC37" s="5"/>
      <c r="AD37" s="5"/>
      <c r="AE37" s="5"/>
      <c r="AF37" s="5"/>
      <c r="AG37" s="5"/>
    </row>
    <row r="38" spans="1:37" ht="18" customHeight="1" thickBot="1">
      <c r="F38"/>
      <c r="G38"/>
      <c r="H38" s="4"/>
      <c r="I38" s="4"/>
      <c r="J38" s="4"/>
      <c r="K38" s="4"/>
      <c r="L38" s="4"/>
      <c r="M38" s="4"/>
      <c r="N38" s="4"/>
      <c r="O38" s="4"/>
      <c r="P38" s="20"/>
      <c r="Q38" s="21"/>
      <c r="R38" s="673"/>
      <c r="S38" s="674"/>
      <c r="T38" s="676"/>
      <c r="U38" s="895"/>
      <c r="V38" s="891"/>
      <c r="W38" s="891"/>
      <c r="X38" s="820"/>
      <c r="Y38" s="434"/>
      <c r="Z38" s="654"/>
      <c r="AA38" s="11"/>
      <c r="AB38" s="11"/>
      <c r="AC38" s="5"/>
      <c r="AD38" s="5"/>
      <c r="AE38" s="5"/>
      <c r="AF38" s="11"/>
      <c r="AG38" s="11"/>
      <c r="AH38" s="11"/>
      <c r="AI38" s="5"/>
      <c r="AJ38" s="5"/>
      <c r="AK38" s="5"/>
    </row>
    <row r="39" spans="1:37" ht="18" customHeight="1" thickBot="1">
      <c r="B39" s="92" t="s">
        <v>350</v>
      </c>
      <c r="C39" s="7"/>
      <c r="F39"/>
      <c r="G39"/>
      <c r="I39" s="4"/>
      <c r="J39" s="4"/>
      <c r="K39" s="4"/>
      <c r="L39" s="4"/>
      <c r="M39" s="4"/>
      <c r="N39" s="4"/>
      <c r="O39" s="4"/>
      <c r="P39" s="20"/>
      <c r="Q39" s="20" t="b">
        <v>1</v>
      </c>
      <c r="R39" s="861" t="s">
        <v>26</v>
      </c>
      <c r="S39" s="862"/>
      <c r="T39" s="154">
        <f>V26+0.5*V27</f>
        <v>1.6267857142857143</v>
      </c>
      <c r="U39" s="155">
        <f>V26+0.5*($T$23*$F$12/2.8)/1000</f>
        <v>1.2017857142857145</v>
      </c>
      <c r="V39" s="156"/>
      <c r="W39" s="156"/>
      <c r="X39" s="157">
        <f>$F$12*1000-105</f>
        <v>2745</v>
      </c>
      <c r="Y39" s="158">
        <f>IF($Q$39=TRUE,17.7,"")</f>
        <v>17.7</v>
      </c>
      <c r="Z39" s="159">
        <v>5</v>
      </c>
      <c r="AA39" s="11"/>
      <c r="AB39" s="11"/>
      <c r="AC39" s="11"/>
      <c r="AD39" s="5"/>
      <c r="AE39" s="11"/>
    </row>
    <row r="40" spans="1:37" ht="18" customHeight="1" thickBot="1">
      <c r="B40" s="92" t="s">
        <v>399</v>
      </c>
      <c r="C40" s="7"/>
      <c r="F40"/>
      <c r="G40" s="153" t="s">
        <v>390</v>
      </c>
      <c r="I40" s="4"/>
      <c r="J40" s="4"/>
      <c r="K40" s="4"/>
      <c r="L40" s="4"/>
      <c r="M40" s="4"/>
      <c r="N40" s="4"/>
      <c r="O40" s="4"/>
      <c r="P40" s="33"/>
      <c r="Q40" s="20"/>
      <c r="R40" s="659" t="s">
        <v>25</v>
      </c>
      <c r="S40" s="660"/>
      <c r="T40" s="161">
        <f>V26+V27+V28+V30+0.5*V29</f>
        <v>4.6277142857142852</v>
      </c>
      <c r="U40" s="162">
        <f>V26+($T$23*$F$12/2.8)/1000+V28+V30+0.5*($T$23*$F$13/2.8)/1000</f>
        <v>3.3227142857142855</v>
      </c>
      <c r="V40" s="163">
        <f>V30+0.5*V29</f>
        <v>0.56414285714285706</v>
      </c>
      <c r="W40" s="164">
        <f>V30+0.5*($T$23*$F$13/2.8)/1000</f>
        <v>0.10914285714285715</v>
      </c>
      <c r="X40" s="165">
        <f>$F$13*1000-120</f>
        <v>2936</v>
      </c>
      <c r="Y40" s="166">
        <f>IF($Q$39=TRUE,17.7,"")</f>
        <v>17.7</v>
      </c>
      <c r="AA40" s="5"/>
      <c r="AB40" s="5"/>
      <c r="AC40" s="11"/>
      <c r="AD40" s="11"/>
      <c r="AE40" s="5"/>
    </row>
    <row r="41" spans="1:37" ht="18" customHeight="1" thickBot="1">
      <c r="A41" s="106"/>
      <c r="B41" s="657" t="s">
        <v>293</v>
      </c>
      <c r="C41" s="658"/>
      <c r="D41" s="459" t="s">
        <v>218</v>
      </c>
      <c r="E41" s="460"/>
      <c r="F41" s="461"/>
      <c r="G41" s="160"/>
      <c r="H41" s="160"/>
      <c r="I41" s="160"/>
      <c r="J41" s="160"/>
      <c r="K41" s="160"/>
      <c r="L41" s="160"/>
      <c r="M41" s="160"/>
      <c r="N41" s="160"/>
      <c r="O41" s="160"/>
      <c r="P41" s="33"/>
      <c r="Q41" s="33"/>
      <c r="R41" s="160"/>
      <c r="S41" s="4"/>
      <c r="T41" s="168"/>
      <c r="U41" s="80"/>
      <c r="V41" s="80"/>
      <c r="W41" s="169"/>
      <c r="X41" s="170"/>
      <c r="AA41" s="5"/>
      <c r="AB41" s="11"/>
      <c r="AC41" s="5"/>
      <c r="AD41" s="5"/>
      <c r="AE41" s="5"/>
    </row>
    <row r="42" spans="1:37" ht="18" customHeight="1" thickBot="1">
      <c r="B42" s="464"/>
      <c r="C42" s="474"/>
      <c r="D42" s="661" t="s">
        <v>501</v>
      </c>
      <c r="E42" s="663" t="s">
        <v>502</v>
      </c>
      <c r="F42" s="664"/>
      <c r="G42" s="160"/>
      <c r="H42" s="160"/>
      <c r="I42" s="160"/>
      <c r="J42" s="160"/>
      <c r="K42" s="160"/>
      <c r="L42" s="160"/>
      <c r="M42" s="160"/>
      <c r="N42" s="160"/>
      <c r="O42" s="160"/>
      <c r="P42" s="33"/>
      <c r="Q42" s="33"/>
      <c r="R42" s="171"/>
      <c r="S42" s="172" t="s">
        <v>210</v>
      </c>
      <c r="T42" s="173" t="s">
        <v>209</v>
      </c>
      <c r="U42" s="174" t="s">
        <v>211</v>
      </c>
      <c r="V42" s="174" t="s">
        <v>298</v>
      </c>
      <c r="W42" s="174" t="s">
        <v>297</v>
      </c>
      <c r="X42" s="175" t="s">
        <v>289</v>
      </c>
      <c r="AA42" s="11"/>
      <c r="AB42" s="11"/>
      <c r="AC42" s="11"/>
      <c r="AD42" s="5"/>
      <c r="AE42" s="5"/>
    </row>
    <row r="43" spans="1:37" ht="18" customHeight="1" thickBot="1">
      <c r="B43" s="466"/>
      <c r="C43" s="476"/>
      <c r="D43" s="662"/>
      <c r="E43" s="665"/>
      <c r="F43" s="666"/>
      <c r="G43" s="160"/>
      <c r="H43" s="160"/>
      <c r="I43" s="160"/>
      <c r="J43" s="160"/>
      <c r="K43" s="160"/>
      <c r="L43" s="160"/>
      <c r="M43" s="160"/>
      <c r="N43" s="160"/>
      <c r="O43" s="160"/>
      <c r="P43" s="31"/>
      <c r="Q43" s="31"/>
      <c r="R43" s="178" t="s">
        <v>183</v>
      </c>
      <c r="S43" s="179">
        <f>$X$39/52.7</f>
        <v>52.08728652751423</v>
      </c>
      <c r="T43" s="180">
        <f>$X$39/8.66</f>
        <v>316.97459584295609</v>
      </c>
      <c r="U43" s="181">
        <f>SQRT($T$39*$Z$39/(1.1/3*Y39)*1000)</f>
        <v>35.402002527580272</v>
      </c>
      <c r="V43" s="181">
        <f>IFERROR(ROUNDUP(IF(S43&gt;U43,(12*($X$39)^2/3000*U43^2)^(1/4),IF(T43&lt;U43,U43,$X$39/75.05+SQRT(($X$39/75.05)^2+U43^2/1.3))),0),"")</f>
        <v>79</v>
      </c>
      <c r="W43" s="181">
        <f>ROUNDUP(SQRT(12)*X39/150,0)</f>
        <v>64</v>
      </c>
      <c r="X43" s="182" t="e">
        <f>IF(#REF!="JAS機械等級区分構造用製材","機械",IF(#REF!="JAS目視等級区分構造用製材", "目視",IF(#REF!="無等級材","無等級",IF(#REF!="JAS同一等級構成集成材","集成材","LVL"))))</f>
        <v>#REF!</v>
      </c>
      <c r="AA43" s="11"/>
      <c r="AB43" s="5"/>
      <c r="AC43" s="11"/>
      <c r="AD43" s="5"/>
      <c r="AE43" s="5"/>
      <c r="AF43" s="5"/>
      <c r="AG43" s="5"/>
    </row>
    <row r="44" spans="1:37" ht="18" customHeight="1" thickBot="1">
      <c r="B44" s="628" t="s">
        <v>26</v>
      </c>
      <c r="C44" s="630"/>
      <c r="D44" s="177" t="str">
        <f>IFERROR(IF($Q$39=TRUE,"１/"&amp;ROUNDDOWN((F12*1000-105)/E44,1),""),"")</f>
        <v>１/34.7</v>
      </c>
      <c r="E44" s="922">
        <f>IF($Q$39=TRUE,IF(V43="","",MAX(V43:W43)),"")</f>
        <v>79</v>
      </c>
      <c r="F44" s="736"/>
      <c r="G44" s="168"/>
      <c r="H44" s="168"/>
      <c r="I44" s="168"/>
      <c r="J44" s="168"/>
      <c r="K44" s="168"/>
      <c r="L44" s="168"/>
      <c r="M44" s="168"/>
      <c r="N44" s="168"/>
      <c r="O44" s="168"/>
      <c r="P44" s="31"/>
      <c r="Q44" s="31"/>
      <c r="R44" s="185" t="s">
        <v>212</v>
      </c>
      <c r="S44" s="186">
        <f>$X$40/52.7</f>
        <v>55.711574952561669</v>
      </c>
      <c r="T44" s="187">
        <f>$X$40/8.66</f>
        <v>339.0300230946882</v>
      </c>
      <c r="U44" s="188">
        <f>SQRT($T$40*$Z$39/(1.1/3*Y40)*1000)</f>
        <v>59.709842096854885</v>
      </c>
      <c r="V44" s="188">
        <f>IFERROR(ROUNDUP(IF(S44&gt;U44,(12*($X$40)^2/3000*U44^2)^(1/4),IF(T44&lt;U44,U44,$X$40/75.05+SQRT(($X$40/75.05)^2+U44^2/1.3))),0),"")</f>
        <v>105</v>
      </c>
      <c r="W44" s="188">
        <f>ROUNDUP(SQRT(12)*X40/150,0)</f>
        <v>68</v>
      </c>
      <c r="X44" s="189" t="e">
        <f>IF(#REF!="JAS機械等級区分構造用製材","機械",IF(#REF!="JAS目視等級区分構造用製材", "目視",IF(#REF!="無等級材","無等級",IF(#REF!="JAS同一等級構成集成材","集成材","LVL"))))</f>
        <v>#REF!</v>
      </c>
      <c r="AA44" s="11"/>
      <c r="AB44" s="5"/>
      <c r="AC44" s="11"/>
      <c r="AD44" s="5"/>
      <c r="AE44" s="5"/>
      <c r="AF44" s="5"/>
      <c r="AG44" s="5"/>
    </row>
    <row r="45" spans="1:37" ht="18" customHeight="1" thickBot="1">
      <c r="B45" s="483" t="s">
        <v>25</v>
      </c>
      <c r="C45" s="484"/>
      <c r="D45" s="184" t="str">
        <f>IFERROR(IF($Q$39=TRUE,"１/"&amp;ROUNDDOWN((F13*1000-120)/E45,1),""),"")</f>
        <v>１/27.9</v>
      </c>
      <c r="E45" s="923">
        <f>IF($Q$39=TRUE,IF(V44="","",MAX(V44:W44)),"")</f>
        <v>105</v>
      </c>
      <c r="F45" s="730"/>
      <c r="G45" s="168"/>
      <c r="H45" s="168"/>
      <c r="I45" s="168"/>
      <c r="J45" s="168"/>
      <c r="K45" s="168"/>
      <c r="L45" s="168"/>
      <c r="M45" s="168"/>
      <c r="N45" s="168"/>
      <c r="O45" s="168"/>
      <c r="P45" s="59"/>
      <c r="Q45" s="31"/>
      <c r="R45" s="7"/>
      <c r="S45" s="7"/>
      <c r="T45" s="7"/>
      <c r="U45" s="7"/>
      <c r="V45" s="7"/>
      <c r="W45" s="7"/>
      <c r="X45" s="11"/>
      <c r="Y45" s="11"/>
      <c r="AA45" s="11"/>
      <c r="AB45" s="5"/>
      <c r="AC45" s="5"/>
      <c r="AD45" s="5"/>
      <c r="AE45" s="5"/>
      <c r="AF45" s="5"/>
      <c r="AG45" s="5"/>
    </row>
    <row r="46" spans="1:37" ht="18" customHeight="1">
      <c r="B46" s="190" t="s">
        <v>503</v>
      </c>
      <c r="C46" s="190"/>
      <c r="D46" s="190"/>
      <c r="E46" s="190"/>
      <c r="F46" s="190"/>
      <c r="G46" s="190"/>
      <c r="H46" s="190"/>
      <c r="I46" s="190"/>
      <c r="J46" s="190"/>
      <c r="K46" s="190"/>
      <c r="L46" s="190"/>
      <c r="M46" s="190"/>
      <c r="N46" s="190"/>
      <c r="O46" s="190"/>
      <c r="P46" s="100"/>
      <c r="Q46" s="31"/>
      <c r="R46" s="31"/>
      <c r="Z46" s="11"/>
      <c r="AA46" s="11"/>
      <c r="AB46" s="11"/>
      <c r="AC46" s="5"/>
      <c r="AD46" s="5"/>
      <c r="AE46" s="5"/>
      <c r="AG46" s="5"/>
    </row>
    <row r="47" spans="1:37" ht="21" customHeight="1">
      <c r="A47" s="7"/>
      <c r="B47" s="881" t="s">
        <v>496</v>
      </c>
      <c r="C47" s="881"/>
      <c r="D47" s="881"/>
      <c r="E47" s="881"/>
      <c r="F47" s="881"/>
      <c r="G47" s="881"/>
      <c r="H47" s="881"/>
      <c r="I47" s="881"/>
      <c r="J47" s="881"/>
      <c r="K47" s="881"/>
      <c r="L47" s="881"/>
      <c r="M47" s="697" t="s">
        <v>390</v>
      </c>
      <c r="N47" s="697"/>
      <c r="O47" s="100"/>
      <c r="P47" s="58"/>
      <c r="Q47" s="31"/>
      <c r="V47" s="191"/>
      <c r="Y47" s="11"/>
      <c r="Z47" s="11"/>
      <c r="AA47" s="11"/>
      <c r="AB47" s="5"/>
      <c r="AC47" s="5"/>
      <c r="AD47" s="5"/>
    </row>
    <row r="48" spans="1:37" s="7" customFormat="1" ht="18" customHeight="1">
      <c r="A48"/>
      <c r="B48" s="140"/>
      <c r="C48" s="140"/>
      <c r="D48" s="140"/>
      <c r="E48" s="140"/>
      <c r="F48" s="140"/>
      <c r="G48" s="140"/>
      <c r="H48" s="140"/>
      <c r="I48" s="140"/>
      <c r="J48" s="140"/>
      <c r="K48"/>
      <c r="L48"/>
      <c r="M48" s="100"/>
      <c r="N48" s="100"/>
      <c r="O48" s="100"/>
      <c r="P48" s="61"/>
      <c r="Q48" s="20" t="b">
        <v>0</v>
      </c>
      <c r="R48" s="5"/>
      <c r="S48" s="5"/>
      <c r="T48" s="5"/>
      <c r="U48" s="5"/>
      <c r="V48" s="5"/>
      <c r="W48" s="5"/>
      <c r="X48" s="5"/>
      <c r="Y48" s="11"/>
      <c r="Z48" s="11"/>
      <c r="AA48" s="11"/>
      <c r="AB48" s="5"/>
      <c r="AC48" s="5"/>
      <c r="AD48"/>
      <c r="AF48"/>
    </row>
    <row r="49" spans="1:35" ht="18" customHeight="1">
      <c r="B49" s="698" t="s">
        <v>351</v>
      </c>
      <c r="C49" s="698"/>
      <c r="D49" s="698"/>
      <c r="E49" s="698"/>
      <c r="F49" s="698"/>
      <c r="G49" s="698"/>
      <c r="H49" s="698"/>
      <c r="I49" s="698"/>
      <c r="J49" s="698"/>
      <c r="K49" s="698"/>
      <c r="L49" s="698"/>
      <c r="M49" s="698"/>
      <c r="N49" s="698"/>
      <c r="O49" s="698"/>
      <c r="P49" s="20"/>
      <c r="Q49" s="20"/>
      <c r="Y49" s="11"/>
      <c r="Z49" s="11"/>
      <c r="AA49" s="5"/>
      <c r="AB49" s="5"/>
      <c r="AC49" s="5"/>
      <c r="AE49" s="7"/>
      <c r="AF49" s="7"/>
      <c r="AG49" s="7"/>
    </row>
    <row r="50" spans="1:35" ht="18" customHeight="1" thickBot="1">
      <c r="B50" s="92" t="s">
        <v>399</v>
      </c>
      <c r="C50" s="7"/>
      <c r="F50"/>
      <c r="G50" s="153" t="s">
        <v>390</v>
      </c>
      <c r="I50" s="4"/>
      <c r="J50" s="4"/>
      <c r="K50" s="4"/>
      <c r="L50" s="4"/>
      <c r="M50" s="4"/>
      <c r="N50" s="4"/>
      <c r="O50" s="4"/>
      <c r="P50" s="30"/>
      <c r="Q50" s="20"/>
      <c r="Y50" s="11"/>
      <c r="Z50" s="11"/>
      <c r="AA50" s="5"/>
      <c r="AB50" s="5"/>
      <c r="AC50" s="5"/>
      <c r="AE50" s="7"/>
      <c r="AG50" s="7"/>
      <c r="AH50" s="7"/>
      <c r="AI50" s="7"/>
    </row>
    <row r="51" spans="1:35" ht="18" customHeight="1" thickBot="1">
      <c r="A51" s="7"/>
      <c r="B51" s="487" t="s">
        <v>463</v>
      </c>
      <c r="C51" s="487"/>
      <c r="D51" s="487"/>
      <c r="E51" s="487"/>
      <c r="F51" s="487"/>
      <c r="G51" s="487"/>
      <c r="H51" s="487"/>
      <c r="I51" s="487"/>
      <c r="J51" s="487"/>
      <c r="K51" s="487"/>
      <c r="L51" s="487"/>
      <c r="M51" s="487"/>
      <c r="N51" s="487"/>
      <c r="O51" s="487"/>
      <c r="P51" s="69"/>
      <c r="Q51" s="33"/>
      <c r="R51" s="195"/>
      <c r="S51" s="196" t="s">
        <v>210</v>
      </c>
      <c r="T51" s="197" t="s">
        <v>209</v>
      </c>
      <c r="U51" s="198" t="s">
        <v>211</v>
      </c>
      <c r="V51" s="198" t="s">
        <v>299</v>
      </c>
      <c r="W51" s="199" t="s">
        <v>297</v>
      </c>
      <c r="X51" s="175" t="s">
        <v>289</v>
      </c>
      <c r="AA51" s="11"/>
      <c r="AB51" s="5"/>
      <c r="AC51" s="5"/>
      <c r="AD51" s="7"/>
      <c r="AE51" s="7"/>
      <c r="AF51" s="7"/>
    </row>
    <row r="52" spans="1:35" ht="18" customHeight="1">
      <c r="A52" s="106"/>
      <c r="B52" s="657" t="s">
        <v>277</v>
      </c>
      <c r="C52" s="658"/>
      <c r="D52" s="667" t="s">
        <v>219</v>
      </c>
      <c r="E52" s="699"/>
      <c r="F52" s="699"/>
      <c r="G52" s="699"/>
      <c r="H52" s="699"/>
      <c r="I52" s="699"/>
      <c r="J52" s="699"/>
      <c r="K52" s="668"/>
      <c r="L52" s="740" t="s">
        <v>218</v>
      </c>
      <c r="M52" s="741"/>
      <c r="N52" s="741"/>
      <c r="O52" s="742"/>
      <c r="P52" s="271"/>
      <c r="Q52" s="31"/>
      <c r="R52" s="178" t="s">
        <v>183</v>
      </c>
      <c r="S52" s="179">
        <f>$X$39/52.7</f>
        <v>52.08728652751423</v>
      </c>
      <c r="T52" s="180">
        <f>$X$39/8.66</f>
        <v>316.97459584295609</v>
      </c>
      <c r="U52" s="180" t="e">
        <f>SQRT($T$39*$Z$39/(1.1/3*L54)*1000)</f>
        <v>#VALUE!</v>
      </c>
      <c r="V52" s="180" t="str">
        <f>IFERROR(ROUNDUP(IF(S52&gt;U52,(12*($X$39)^2/3000*U52^2)^(1/4),IF(T52&lt;U52,U52,$X$39/75.05+SQRT(($X$39/75.05)^2+U52^2/1.3))),0),"")</f>
        <v/>
      </c>
      <c r="W52" s="180">
        <f>ROUNDUP(SQRT(12)*$X$39/150,0)</f>
        <v>64</v>
      </c>
      <c r="X52" s="182" t="str">
        <f>IF(D54="JAS機械等級区分構造用製材","機械",IF(D54="JAS目視等級区分構造用製材", "目視",IF(D54="無等級材","無等級",IF(D54="JAS同一等級構成集成材","集成材","LVL"))))</f>
        <v>無等級</v>
      </c>
      <c r="AA52" s="11"/>
      <c r="AB52" s="5"/>
      <c r="AC52" s="5"/>
      <c r="AD52" s="7"/>
      <c r="AE52" s="5"/>
      <c r="AF52" s="7"/>
    </row>
    <row r="53" spans="1:35" ht="36" customHeight="1" thickBot="1">
      <c r="B53" s="466"/>
      <c r="C53" s="476"/>
      <c r="D53" s="483" t="s">
        <v>244</v>
      </c>
      <c r="E53" s="700"/>
      <c r="F53" s="701"/>
      <c r="G53" s="840" t="s">
        <v>245</v>
      </c>
      <c r="H53" s="840"/>
      <c r="I53" s="692" t="s">
        <v>276</v>
      </c>
      <c r="J53" s="693"/>
      <c r="K53" s="694"/>
      <c r="L53" s="842" t="s">
        <v>423</v>
      </c>
      <c r="M53" s="843"/>
      <c r="N53" s="843" t="s">
        <v>220</v>
      </c>
      <c r="O53" s="875"/>
      <c r="P53" s="271"/>
      <c r="Q53" s="31"/>
      <c r="R53" s="202" t="s">
        <v>215</v>
      </c>
      <c r="S53" s="203">
        <f>$X$39/52.7</f>
        <v>52.08728652751423</v>
      </c>
      <c r="T53" s="204">
        <f>$X$39/8.66</f>
        <v>316.97459584295609</v>
      </c>
      <c r="U53" s="204" t="e">
        <f>SQRT($T$39*$Z$39/(1.1/3*L55)*1000)</f>
        <v>#VALUE!</v>
      </c>
      <c r="V53" s="204" t="str">
        <f>IFERROR(ROUNDUP(IF(S53&gt;U53,(12*$X$39^2/3000*U53^2)^(1/4),IF(T53&lt;U53,U53,$X$39/75.05+SQRT(($X$39/75.05)^2+U53^2/1.3))),0),"")</f>
        <v/>
      </c>
      <c r="W53" s="204">
        <f>ROUNDUP(SQRT(12)*$X$39/150,0)</f>
        <v>64</v>
      </c>
      <c r="X53" s="201" t="str">
        <f>IF(D55="JAS機械等級区分構造用製材","機械",IF(D55="JAS目視等級区分構造用製材", "目視",IF(D55="無等級材","無等級",IF(D55="JAS同一等級構成集成材","集成材","LVL"))))</f>
        <v>LVL</v>
      </c>
      <c r="AA53" s="11"/>
      <c r="AB53" s="5"/>
      <c r="AC53" s="5"/>
      <c r="AD53" s="7"/>
      <c r="AE53" s="5"/>
      <c r="AF53" s="7"/>
    </row>
    <row r="54" spans="1:35" ht="18" customHeight="1">
      <c r="B54" s="687" t="s">
        <v>26</v>
      </c>
      <c r="C54" s="200" t="s">
        <v>161</v>
      </c>
      <c r="D54" s="914" t="s">
        <v>246</v>
      </c>
      <c r="E54" s="915"/>
      <c r="F54" s="915"/>
      <c r="G54" s="918" t="s">
        <v>80</v>
      </c>
      <c r="H54" s="918"/>
      <c r="I54" s="935" t="s">
        <v>317</v>
      </c>
      <c r="J54" s="936"/>
      <c r="K54" s="937"/>
      <c r="L54" s="916" t="str">
        <f>IF($Q$48=TRUE,IFERROR(VLOOKUP(D54&amp;G54&amp;I54,柱の圧縮基準強度!$A$4:$F$187,6,0),"該当なし"),"")</f>
        <v/>
      </c>
      <c r="M54" s="917"/>
      <c r="N54" s="735" t="str">
        <f t="shared" ref="N54:N61" si="2">IF($Q$48=TRUE,IF(V52="","",MAX(V52:W52)),"")</f>
        <v/>
      </c>
      <c r="O54" s="736"/>
      <c r="P54" s="271"/>
      <c r="Q54" s="31"/>
      <c r="R54" s="202" t="s">
        <v>217</v>
      </c>
      <c r="S54" s="203">
        <f>$X$39/52.7</f>
        <v>52.08728652751423</v>
      </c>
      <c r="T54" s="204">
        <f>$X$39/8.66</f>
        <v>316.97459584295609</v>
      </c>
      <c r="U54" s="204" t="e">
        <f>SQRT($T$39*$Z$39/(1.1/3*L56)*1000)</f>
        <v>#VALUE!</v>
      </c>
      <c r="V54" s="204" t="str">
        <f>IFERROR(ROUNDUP(IF(S54&gt;U54,(12*($X$39)^2/3000*U54^2)^(1/4),IF(T54&lt;U54,U54,$X$39/75.05+SQRT(($X$39/75.05)^2+U54^2/1.3))),0),"")</f>
        <v/>
      </c>
      <c r="W54" s="204">
        <f>ROUNDUP(SQRT(12)*$X$39/150,0)</f>
        <v>64</v>
      </c>
      <c r="X54" s="201" t="str">
        <f>IF(D56="JAS機械等級区分構造用製材","機械",IF(D56="JAS目視等級区分構造用製材", "目視",IF(D56="無等級材","無等級",IF(D56="JAS同一等級構成集成材","集成材","LVL"))))</f>
        <v>LVL</v>
      </c>
      <c r="AA54" s="11"/>
      <c r="AB54" s="5"/>
      <c r="AC54" s="5"/>
      <c r="AD54" s="7"/>
      <c r="AF54" s="7"/>
    </row>
    <row r="55" spans="1:35" s="7" customFormat="1" ht="18" customHeight="1">
      <c r="A55"/>
      <c r="B55" s="688"/>
      <c r="C55" s="201" t="s">
        <v>162</v>
      </c>
      <c r="D55" s="748"/>
      <c r="E55" s="749"/>
      <c r="F55" s="749"/>
      <c r="G55" s="750"/>
      <c r="H55" s="750"/>
      <c r="I55" s="751"/>
      <c r="J55" s="919"/>
      <c r="K55" s="920"/>
      <c r="L55" s="733" t="str">
        <f>IF($Q$48=TRUE,IFERROR(VLOOKUP(D55&amp;G55&amp;I55,柱の圧縮基準強度!$A$4:$F$187,6,0),"該当なし"),"")</f>
        <v/>
      </c>
      <c r="M55" s="734"/>
      <c r="N55" s="735" t="str">
        <f t="shared" si="2"/>
        <v/>
      </c>
      <c r="O55" s="736"/>
      <c r="P55" s="271"/>
      <c r="Q55" s="31"/>
      <c r="R55" s="202" t="s">
        <v>310</v>
      </c>
      <c r="S55" s="203">
        <f>$X$39/52.7</f>
        <v>52.08728652751423</v>
      </c>
      <c r="T55" s="204">
        <f>$X$39/8.66</f>
        <v>316.97459584295609</v>
      </c>
      <c r="U55" s="204" t="e">
        <f>SQRT($T$39*$Z$39/(1.1/3*L57)*1000)</f>
        <v>#DIV/0!</v>
      </c>
      <c r="V55" s="204" t="str">
        <f>IFERROR(ROUNDUP(IF(S55&gt;U55,(12*$X$39^2/3000*U55^2)^(1/4),IF(T55&lt;U55,U55,$X$39/75.05+SQRT(($X$39/75.05)^2+U55^2/1.3))),0),"")</f>
        <v/>
      </c>
      <c r="W55" s="204">
        <f>ROUNDUP(SQRT(12)*$X$39/150,0)</f>
        <v>64</v>
      </c>
      <c r="X55" s="201"/>
      <c r="Y55" s="5"/>
      <c r="Z55" s="5"/>
      <c r="AA55" s="11"/>
      <c r="AB55" s="5"/>
      <c r="AC55" s="5"/>
      <c r="AD55" s="5"/>
      <c r="AE55"/>
      <c r="AG55"/>
      <c r="AH55"/>
    </row>
    <row r="56" spans="1:35" s="7" customFormat="1" ht="18" customHeight="1">
      <c r="A56"/>
      <c r="B56" s="688"/>
      <c r="C56" s="201" t="s">
        <v>170</v>
      </c>
      <c r="D56" s="748"/>
      <c r="E56" s="749"/>
      <c r="F56" s="749"/>
      <c r="G56" s="750"/>
      <c r="H56" s="750"/>
      <c r="I56" s="751"/>
      <c r="J56" s="919"/>
      <c r="K56" s="920"/>
      <c r="L56" s="733" t="str">
        <f>IF($Q$48=TRUE,IFERROR(VLOOKUP(D56&amp;G56&amp;I56,柱の圧縮基準強度!$A$4:$F$187,6,0),"該当なし"),"")</f>
        <v/>
      </c>
      <c r="M56" s="734"/>
      <c r="N56" s="735" t="str">
        <f t="shared" si="2"/>
        <v/>
      </c>
      <c r="O56" s="736"/>
      <c r="P56" s="271"/>
      <c r="Q56" s="31"/>
      <c r="R56" s="202" t="s">
        <v>212</v>
      </c>
      <c r="S56" s="203">
        <f>$X$40/52.7</f>
        <v>55.711574952561669</v>
      </c>
      <c r="T56" s="204">
        <f>$X$40/8.66</f>
        <v>339.0300230946882</v>
      </c>
      <c r="U56" s="204" t="e">
        <f>SQRT($T$40*$Z$39/(1.1/3*L58)*1000)</f>
        <v>#VALUE!</v>
      </c>
      <c r="V56" s="204" t="str">
        <f>IFERROR(ROUNDUP(IF(S56&gt;U56,(12*($X$40)^2/3000*U56^2)^(1/4),IF(T56&lt;U56,U56,$X$40/75.05+SQRT(($X$40/75.05)^2+U56^2/1.3))),0),"")</f>
        <v/>
      </c>
      <c r="W56" s="204">
        <f>ROUNDUP(SQRT(12)*$X$40/150,0)</f>
        <v>68</v>
      </c>
      <c r="X56" s="201" t="str">
        <f>IF(D58="JAS機械等級区分構造用製材","機械",IF(D58="JAS目視等級区分構造用製材", "目視",IF(D58="無等級材","無等級",IF(D58="JAS同一等級構成集成材","集成材","LVL"))))</f>
        <v>無等級</v>
      </c>
      <c r="Y56" s="5"/>
      <c r="Z56" s="5"/>
      <c r="AA56" s="11"/>
      <c r="AB56" s="5"/>
      <c r="AC56" s="5"/>
      <c r="AE56"/>
      <c r="AG56"/>
      <c r="AH56"/>
    </row>
    <row r="57" spans="1:35" s="7" customFormat="1" ht="18" customHeight="1" thickBot="1">
      <c r="A57"/>
      <c r="B57" s="688"/>
      <c r="C57" s="205" t="s">
        <v>171</v>
      </c>
      <c r="D57" s="702" t="s">
        <v>500</v>
      </c>
      <c r="E57" s="703"/>
      <c r="F57" s="703"/>
      <c r="G57" s="703"/>
      <c r="H57" s="704"/>
      <c r="I57" s="900" t="s">
        <v>323</v>
      </c>
      <c r="J57" s="901"/>
      <c r="K57" s="902"/>
      <c r="L57" s="930"/>
      <c r="M57" s="931"/>
      <c r="N57" s="897" t="str">
        <f t="shared" si="2"/>
        <v/>
      </c>
      <c r="O57" s="898"/>
      <c r="P57" s="271"/>
      <c r="Q57" s="31"/>
      <c r="R57" s="202" t="s">
        <v>213</v>
      </c>
      <c r="S57" s="203">
        <f>$X$40/52.7</f>
        <v>55.711574952561669</v>
      </c>
      <c r="T57" s="204">
        <f>$X$40/8.66</f>
        <v>339.0300230946882</v>
      </c>
      <c r="U57" s="204" t="e">
        <f>SQRT($T$40*$Z$39/(1.1/3*L59)*1000)</f>
        <v>#VALUE!</v>
      </c>
      <c r="V57" s="204" t="str">
        <f>IFERROR(ROUNDUP(IF(S57&gt;U57,(12*($X$40)^2/3000*U57^2)^(1/4),IF(T57&lt;U57,U57,$X$40/75.05+SQRT(($X$40/75.05)^2+U57^2/1.3))),0),"")</f>
        <v/>
      </c>
      <c r="W57" s="204">
        <f>ROUNDUP(SQRT(12)*$X$40/150,0)</f>
        <v>68</v>
      </c>
      <c r="X57" s="201" t="str">
        <f>IF(D59="JAS機械等級区分構造用製材","機械",IF(D59="JAS目視等級区分構造用製材", "目視",IF(D59="無等級材","無等級",IF(D59="JAS同一等級構成集成材","集成材","LVL"))))</f>
        <v>LVL</v>
      </c>
      <c r="Y57" s="5"/>
      <c r="Z57" s="5"/>
      <c r="AA57" s="11"/>
      <c r="AB57" s="11"/>
      <c r="AC57" s="5"/>
      <c r="AE57"/>
    </row>
    <row r="58" spans="1:35" s="7" customFormat="1" ht="20.25" customHeight="1">
      <c r="A58"/>
      <c r="B58" s="657" t="s">
        <v>25</v>
      </c>
      <c r="C58" s="200" t="s">
        <v>161</v>
      </c>
      <c r="D58" s="933" t="s">
        <v>246</v>
      </c>
      <c r="E58" s="934"/>
      <c r="F58" s="934"/>
      <c r="G58" s="896" t="s">
        <v>80</v>
      </c>
      <c r="H58" s="896"/>
      <c r="I58" s="935" t="s">
        <v>317</v>
      </c>
      <c r="J58" s="936"/>
      <c r="K58" s="937"/>
      <c r="L58" s="904" t="str">
        <f>IF($Q$48=TRUE,IFERROR(VLOOKUP(D58&amp;G58&amp;I58,柱の圧縮基準強度!$A$4:$F$187,6,0),"該当なし"),"")</f>
        <v/>
      </c>
      <c r="M58" s="905"/>
      <c r="N58" s="940" t="str">
        <f t="shared" si="2"/>
        <v/>
      </c>
      <c r="O58" s="941"/>
      <c r="P58" s="271"/>
      <c r="Q58" s="31"/>
      <c r="R58" s="202" t="s">
        <v>216</v>
      </c>
      <c r="S58" s="203">
        <f>$X$40/52.7</f>
        <v>55.711574952561669</v>
      </c>
      <c r="T58" s="204">
        <f>$X$40/8.66</f>
        <v>339.0300230946882</v>
      </c>
      <c r="U58" s="204" t="e">
        <f>SQRT($T$40*$Z$39/(1.1/3*L60)*1000)</f>
        <v>#VALUE!</v>
      </c>
      <c r="V58" s="204" t="str">
        <f>IFERROR(ROUNDUP(IF(S58&gt;U58,(12*($X$40)^2/3000*U58^2)^(1/4),IF(T58&lt;U58,U58,$X$40/75.05+SQRT(($X$40/75.05)^2+U58^2/1.3))),0),"")</f>
        <v/>
      </c>
      <c r="W58" s="204">
        <f>ROUNDUP(SQRT(12)*$X$40/150,0)</f>
        <v>68</v>
      </c>
      <c r="X58" s="201" t="str">
        <f>IF(D60="JAS機械等級区分構造用製材","機械",IF(D60="JAS目視等級区分構造用製材", "目視",IF(D60="無等級材","無等級",IF(D60="JAS同一等級構成集成材","集成材","LVL"))))</f>
        <v>LVL</v>
      </c>
      <c r="Y58" s="5"/>
      <c r="Z58" s="5"/>
      <c r="AA58" s="11"/>
      <c r="AB58" s="11"/>
      <c r="AC58" s="5"/>
      <c r="AD58" s="5"/>
      <c r="AE58"/>
      <c r="AF58"/>
      <c r="AG58"/>
    </row>
    <row r="59" spans="1:35" s="7" customFormat="1" ht="18" customHeight="1" thickBot="1">
      <c r="A59"/>
      <c r="B59" s="464"/>
      <c r="C59" s="201" t="s">
        <v>162</v>
      </c>
      <c r="D59" s="748"/>
      <c r="E59" s="749"/>
      <c r="F59" s="749"/>
      <c r="G59" s="750"/>
      <c r="H59" s="750"/>
      <c r="I59" s="751"/>
      <c r="J59" s="919"/>
      <c r="K59" s="920"/>
      <c r="L59" s="733" t="str">
        <f>IF($Q$48=TRUE,IFERROR(VLOOKUP(D59&amp;G59&amp;I59,柱の圧縮基準強度!$A$4:$F$187,6,0),"該当なし"),"")</f>
        <v/>
      </c>
      <c r="M59" s="734"/>
      <c r="N59" s="735" t="str">
        <f t="shared" si="2"/>
        <v/>
      </c>
      <c r="O59" s="736"/>
      <c r="P59" s="271"/>
      <c r="Q59" s="31"/>
      <c r="R59" s="207" t="s">
        <v>216</v>
      </c>
      <c r="S59" s="208">
        <f>$X$40/52.7</f>
        <v>55.711574952561669</v>
      </c>
      <c r="T59" s="209">
        <f>$X$40/8.66</f>
        <v>339.0300230946882</v>
      </c>
      <c r="U59" s="209" t="e">
        <f>SQRT($T$40*$Z$39/(1.1/3*L61)*1000)</f>
        <v>#DIV/0!</v>
      </c>
      <c r="V59" s="209" t="str">
        <f>IFERROR(ROUNDUP(IF(S59&gt;U59,(12*($X$40)^2/3000*U59^2)^(1/4),IF(T59&lt;U59,U59,$X$40/75.05+SQRT(($X$40/75.05)^2+U59^2/1.3))),0),"")</f>
        <v/>
      </c>
      <c r="W59" s="209">
        <f>ROUNDUP(SQRT(12)*$X$40/150,0)</f>
        <v>68</v>
      </c>
      <c r="X59" s="206"/>
      <c r="Y59" s="5"/>
      <c r="Z59" s="5"/>
      <c r="AA59" s="11"/>
      <c r="AB59" s="5"/>
      <c r="AC59" s="5"/>
      <c r="AD59" s="5"/>
      <c r="AE59"/>
      <c r="AF59"/>
    </row>
    <row r="60" spans="1:35" ht="18" customHeight="1" thickBot="1">
      <c r="B60" s="464"/>
      <c r="C60" s="201" t="s">
        <v>170</v>
      </c>
      <c r="D60" s="748"/>
      <c r="E60" s="749"/>
      <c r="F60" s="749"/>
      <c r="G60" s="750"/>
      <c r="H60" s="750"/>
      <c r="I60" s="751"/>
      <c r="J60" s="919"/>
      <c r="K60" s="920"/>
      <c r="L60" s="733" t="str">
        <f>IF($Q$48=TRUE,IFERROR(VLOOKUP(D60&amp;G60&amp;I60,柱の圧縮基準強度!$A$4:$F$187,6,0),"該当なし"),"")</f>
        <v/>
      </c>
      <c r="M60" s="734"/>
      <c r="N60" s="877" t="str">
        <f t="shared" si="2"/>
        <v/>
      </c>
      <c r="O60" s="878"/>
      <c r="P60" s="26"/>
      <c r="Q60" s="31"/>
      <c r="R60" s="7"/>
      <c r="S60" s="7"/>
      <c r="T60" s="7"/>
      <c r="U60" s="7"/>
      <c r="V60" s="7"/>
      <c r="W60" s="7"/>
      <c r="X60" s="11"/>
      <c r="Y60" s="11"/>
      <c r="AA60" s="11"/>
      <c r="AB60" s="5"/>
      <c r="AC60" s="5"/>
      <c r="AD60" s="5"/>
      <c r="AG60" s="7"/>
      <c r="AH60" s="7"/>
    </row>
    <row r="61" spans="1:35" ht="18" customHeight="1" thickBot="1">
      <c r="B61" s="466"/>
      <c r="C61" s="206" t="s">
        <v>171</v>
      </c>
      <c r="D61" s="702" t="s">
        <v>500</v>
      </c>
      <c r="E61" s="703"/>
      <c r="F61" s="703"/>
      <c r="G61" s="703"/>
      <c r="H61" s="704"/>
      <c r="I61" s="426" t="s">
        <v>323</v>
      </c>
      <c r="J61" s="427"/>
      <c r="K61" s="428"/>
      <c r="L61" s="879"/>
      <c r="M61" s="880"/>
      <c r="N61" s="729" t="str">
        <f t="shared" si="2"/>
        <v/>
      </c>
      <c r="O61" s="730"/>
      <c r="P61" s="60"/>
      <c r="Q61" s="19" t="b">
        <v>1</v>
      </c>
      <c r="R61" s="210"/>
      <c r="S61" s="211"/>
      <c r="T61" s="212" t="s">
        <v>38</v>
      </c>
      <c r="U61" s="213" t="s">
        <v>39</v>
      </c>
      <c r="V61" s="213" t="s">
        <v>223</v>
      </c>
      <c r="W61" s="214" t="s">
        <v>227</v>
      </c>
      <c r="Y61" s="11"/>
      <c r="AA61" s="5"/>
      <c r="AB61" s="5"/>
      <c r="AC61" s="5"/>
      <c r="AD61" s="5"/>
      <c r="AG61" s="7"/>
      <c r="AH61" s="7"/>
    </row>
    <row r="62" spans="1:35" ht="18" customHeight="1">
      <c r="B62" s="192"/>
      <c r="C62" s="193"/>
      <c r="D62" s="193"/>
      <c r="E62" s="193"/>
      <c r="F62" s="193"/>
      <c r="G62" s="193"/>
      <c r="H62" s="193"/>
      <c r="I62" s="193"/>
      <c r="J62" s="193"/>
      <c r="K62" s="193"/>
      <c r="L62" s="193"/>
      <c r="M62" s="193"/>
      <c r="N62" s="193"/>
      <c r="O62" s="193"/>
      <c r="P62" s="20"/>
      <c r="Q62" s="20"/>
      <c r="R62" s="395" t="s">
        <v>26</v>
      </c>
      <c r="S62" s="215" t="s">
        <v>228</v>
      </c>
      <c r="T62" s="216">
        <f>J70</f>
        <v>105</v>
      </c>
      <c r="U62" s="217">
        <f>K70</f>
        <v>120</v>
      </c>
      <c r="V62" s="217">
        <f>MIN(L70:M70)</f>
        <v>0</v>
      </c>
      <c r="W62" s="218">
        <f>MIN(N70:O70)</f>
        <v>0</v>
      </c>
      <c r="Y62" s="11"/>
      <c r="Z62" s="11"/>
      <c r="AA62" s="5"/>
      <c r="AC62" s="5"/>
      <c r="AD62" s="5"/>
      <c r="AG62" s="7"/>
      <c r="AH62" s="7"/>
    </row>
    <row r="63" spans="1:35" ht="18" customHeight="1">
      <c r="B63" s="452" t="s">
        <v>352</v>
      </c>
      <c r="C63" s="452"/>
      <c r="D63" s="452"/>
      <c r="E63" s="452"/>
      <c r="F63" s="452"/>
      <c r="G63" s="452"/>
      <c r="H63" s="452"/>
      <c r="I63" s="452"/>
      <c r="J63" s="452"/>
      <c r="K63" s="452"/>
      <c r="L63" s="452"/>
      <c r="M63" s="452"/>
      <c r="N63" s="452"/>
      <c r="O63" s="452"/>
      <c r="P63" s="32"/>
      <c r="Q63" s="20"/>
      <c r="R63" s="396"/>
      <c r="S63" s="220" t="s">
        <v>225</v>
      </c>
      <c r="T63" s="221">
        <f>3.46*($F$12*1000-105)/T62</f>
        <v>90.454285714285717</v>
      </c>
      <c r="U63" s="222">
        <f>3.46*($F$12*1000-105)/U62</f>
        <v>79.147500000000008</v>
      </c>
      <c r="V63" s="222" t="e">
        <f>3.46*($F$12*1000-105)/V62</f>
        <v>#DIV/0!</v>
      </c>
      <c r="W63" s="223" t="e">
        <f>3.46*($F$12*1000-105)/W62</f>
        <v>#DIV/0!</v>
      </c>
      <c r="Y63" s="11"/>
      <c r="Z63" s="11"/>
      <c r="AA63" s="5"/>
      <c r="AB63" s="5"/>
      <c r="AC63" s="5"/>
      <c r="AD63" s="5"/>
    </row>
    <row r="64" spans="1:35" ht="18" customHeight="1">
      <c r="B64" s="92" t="s">
        <v>399</v>
      </c>
      <c r="C64" s="7"/>
      <c r="F64"/>
      <c r="G64" s="153" t="s">
        <v>390</v>
      </c>
      <c r="I64" s="4"/>
      <c r="J64" s="4"/>
      <c r="K64" s="4"/>
      <c r="L64" s="4"/>
      <c r="M64" s="4"/>
      <c r="N64" s="4"/>
      <c r="O64" s="4"/>
      <c r="P64" s="32"/>
      <c r="Q64" s="20"/>
      <c r="R64" s="396"/>
      <c r="S64" s="225" t="s">
        <v>226</v>
      </c>
      <c r="T64" s="226">
        <f>IF(T63&lt;=30,1,IF(T63&gt;100,3000/(T63)^2,1.3-0.01*T63))</f>
        <v>0.39545714285714284</v>
      </c>
      <c r="U64" s="227">
        <f t="shared" ref="U64" si="3">IF(U63&lt;=30,1,IF(U63&gt;100,3000/(U63)^2,1.3-0.01*U63))</f>
        <v>0.50852499999999989</v>
      </c>
      <c r="V64" s="227" t="e">
        <f>IF(V63&lt;=30,1,IF(V63&gt;100,3000/(V63)^2,1.3-0.01*V63))</f>
        <v>#DIV/0!</v>
      </c>
      <c r="W64" s="228" t="e">
        <f>IF(W63&lt;=30,1,IF(W63&gt;100,3000/(W63)^2,1.3-0.01*W63))</f>
        <v>#DIV/0!</v>
      </c>
      <c r="Z64" s="11"/>
      <c r="AA64" s="5"/>
      <c r="AB64" s="5"/>
      <c r="AC64" s="5"/>
      <c r="AD64" s="5"/>
    </row>
    <row r="65" spans="1:31" ht="18" customHeight="1" thickBot="1">
      <c r="A65" s="7"/>
      <c r="B65" t="s">
        <v>464</v>
      </c>
      <c r="C65" s="224"/>
      <c r="D65" s="7"/>
      <c r="F65"/>
      <c r="G65"/>
      <c r="N65"/>
      <c r="O65" s="219"/>
      <c r="P65" s="32"/>
      <c r="Q65" s="20"/>
      <c r="R65" s="397"/>
      <c r="S65" s="229" t="s">
        <v>297</v>
      </c>
      <c r="T65" s="230" t="str">
        <f>IF(($F$12-0.105)*1000/J70&lt;=43.3,"","有効細長比150以上")</f>
        <v/>
      </c>
      <c r="U65" s="231" t="str">
        <f>IF(($F$12-0.105)*1000/K70&lt;=43.3,"","有効細長比150以上")</f>
        <v/>
      </c>
      <c r="V65" s="231" t="e">
        <f>IF(($F$12-0.105)*1000/MIN(L70:M70)&lt;=43.3,"","有効細長比150以上")</f>
        <v>#DIV/0!</v>
      </c>
      <c r="W65" s="232" t="e">
        <f>IF(($F$12-0.105)*1000/MIN(N70:O70)&lt;=43.3,"","有効細長比150以上")</f>
        <v>#DIV/0!</v>
      </c>
      <c r="Y65" s="11"/>
      <c r="Z65" s="11"/>
      <c r="AA65" s="5"/>
      <c r="AB65" s="5"/>
      <c r="AC65" s="5"/>
      <c r="AE65" s="7"/>
    </row>
    <row r="66" spans="1:31" ht="18" customHeight="1" thickBot="1">
      <c r="A66" s="7"/>
      <c r="B66" s="224" t="s">
        <v>301</v>
      </c>
      <c r="C66" s="150"/>
      <c r="D66" s="2"/>
      <c r="F66"/>
      <c r="G66"/>
      <c r="N66"/>
      <c r="O66" s="219"/>
      <c r="P66" s="23"/>
      <c r="Q66" s="20"/>
      <c r="R66" s="395" t="s">
        <v>25</v>
      </c>
      <c r="S66" s="233" t="s">
        <v>228</v>
      </c>
      <c r="T66" s="234">
        <f>J70</f>
        <v>105</v>
      </c>
      <c r="U66" s="235">
        <f>K70</f>
        <v>120</v>
      </c>
      <c r="V66" s="235">
        <f>MIN(L70:M70)</f>
        <v>0</v>
      </c>
      <c r="W66" s="236">
        <f>MIN(N70:O70)</f>
        <v>0</v>
      </c>
      <c r="X66" s="237"/>
      <c r="Y66" s="11"/>
      <c r="Z66" s="11"/>
      <c r="AA66" s="5"/>
      <c r="AE66" s="7"/>
    </row>
    <row r="67" spans="1:31" ht="18" customHeight="1">
      <c r="B67" s="723" t="s">
        <v>277</v>
      </c>
      <c r="C67" s="724"/>
      <c r="D67" s="459" t="s">
        <v>219</v>
      </c>
      <c r="E67" s="460"/>
      <c r="F67" s="460"/>
      <c r="G67" s="460"/>
      <c r="H67" s="460"/>
      <c r="I67" s="459" t="s">
        <v>386</v>
      </c>
      <c r="J67" s="460"/>
      <c r="K67" s="460"/>
      <c r="L67" s="460"/>
      <c r="M67" s="460"/>
      <c r="N67" s="460"/>
      <c r="O67" s="461"/>
      <c r="P67" s="33"/>
      <c r="Q67" s="20"/>
      <c r="R67" s="396"/>
      <c r="S67" s="220" t="s">
        <v>225</v>
      </c>
      <c r="T67" s="221">
        <f>3.46*($F$13*1000-120)/T66</f>
        <v>96.748190476190473</v>
      </c>
      <c r="U67" s="222">
        <f>3.46*($F$13*1000-120)/U66</f>
        <v>84.654666666666657</v>
      </c>
      <c r="V67" s="222" t="e">
        <f>3.46*($F$13*1000-120)/V66</f>
        <v>#DIV/0!</v>
      </c>
      <c r="W67" s="223" t="e">
        <f>3.46*($F$13*1000-120)/W66</f>
        <v>#DIV/0!</v>
      </c>
      <c r="X67" s="237"/>
      <c r="Y67" s="237"/>
      <c r="AA67" s="5"/>
      <c r="AB67" s="5"/>
      <c r="AC67" s="7"/>
      <c r="AD67" s="7"/>
      <c r="AE67" s="5"/>
    </row>
    <row r="68" spans="1:31" ht="18" customHeight="1">
      <c r="B68" s="725"/>
      <c r="C68" s="726"/>
      <c r="D68" s="752" t="s">
        <v>244</v>
      </c>
      <c r="E68" s="753"/>
      <c r="F68" s="756" t="s">
        <v>214</v>
      </c>
      <c r="G68" s="753" t="s">
        <v>56</v>
      </c>
      <c r="H68" s="569"/>
      <c r="I68" s="759" t="s">
        <v>422</v>
      </c>
      <c r="J68" s="238" t="s">
        <v>38</v>
      </c>
      <c r="K68" s="238" t="s">
        <v>39</v>
      </c>
      <c r="L68" s="746" t="s">
        <v>223</v>
      </c>
      <c r="M68" s="746"/>
      <c r="N68" s="746" t="s">
        <v>224</v>
      </c>
      <c r="O68" s="747"/>
      <c r="P68" s="70"/>
      <c r="Q68" s="23"/>
      <c r="R68" s="396"/>
      <c r="S68" s="225" t="s">
        <v>226</v>
      </c>
      <c r="T68" s="226">
        <f>IF(T67&lt;=30,1,IF(T67&gt;100,3000/(T67)^2,1.3-0.01*T67))</f>
        <v>0.33251809523809528</v>
      </c>
      <c r="U68" s="227">
        <f t="shared" ref="U68:V68" si="4">IF(U67&lt;=30,1,IF(U67&gt;100,3000/(U67)^2,1.3-0.01*U67))</f>
        <v>0.45345333333333349</v>
      </c>
      <c r="V68" s="227" t="e">
        <f t="shared" si="4"/>
        <v>#DIV/0!</v>
      </c>
      <c r="W68" s="228" t="e">
        <f>IF(W67&lt;=30,1,IF(W67&gt;100,3000/(W67)^2,1.3-0.01*W67))</f>
        <v>#DIV/0!</v>
      </c>
      <c r="X68" s="237"/>
      <c r="Y68" s="237"/>
      <c r="AA68" s="5"/>
      <c r="AB68" s="5"/>
      <c r="AC68" s="7"/>
      <c r="AD68" s="7"/>
      <c r="AE68" s="7"/>
    </row>
    <row r="69" spans="1:31" ht="36" customHeight="1" thickBot="1">
      <c r="B69" s="725"/>
      <c r="C69" s="726"/>
      <c r="D69" s="752"/>
      <c r="E69" s="753"/>
      <c r="F69" s="756"/>
      <c r="G69" s="753"/>
      <c r="H69" s="569"/>
      <c r="I69" s="759"/>
      <c r="J69" s="239" t="s">
        <v>278</v>
      </c>
      <c r="K69" s="239" t="s">
        <v>278</v>
      </c>
      <c r="L69" s="240" t="s">
        <v>221</v>
      </c>
      <c r="M69" s="240" t="s">
        <v>222</v>
      </c>
      <c r="N69" s="240" t="s">
        <v>221</v>
      </c>
      <c r="O69" s="241" t="s">
        <v>222</v>
      </c>
      <c r="P69" s="33"/>
      <c r="Q69" s="33"/>
      <c r="R69" s="397"/>
      <c r="S69" s="229" t="s">
        <v>297</v>
      </c>
      <c r="T69" s="230" t="str">
        <f>IF(($F$13-0.12)*1000/J70&lt;=43.3,"","有効細長比150以上")</f>
        <v/>
      </c>
      <c r="U69" s="231" t="str">
        <f>IF(($F$13-0.12)*1000/K70&lt;=43.3,"","有効細長比150以上")</f>
        <v/>
      </c>
      <c r="V69" s="231" t="e">
        <f>IF(($F$13-0.12)*1000/MIN(L70:M70)&lt;=43.3,"","有効細長比150以上")</f>
        <v>#DIV/0!</v>
      </c>
      <c r="W69" s="232" t="e">
        <f>IF(($F$13-0.12)*1000/MIN(N70:O70)&lt;=43.3,"","有効細長比150以上")</f>
        <v>#DIV/0!</v>
      </c>
      <c r="X69" s="237"/>
      <c r="Y69" s="237"/>
      <c r="AA69" s="7"/>
      <c r="AB69" s="5"/>
      <c r="AC69" s="5"/>
      <c r="AD69" s="5"/>
      <c r="AE69" s="7"/>
    </row>
    <row r="70" spans="1:31" ht="18" customHeight="1" thickBot="1">
      <c r="B70" s="727"/>
      <c r="C70" s="728"/>
      <c r="D70" s="754"/>
      <c r="E70" s="755"/>
      <c r="F70" s="757"/>
      <c r="G70" s="755"/>
      <c r="H70" s="758"/>
      <c r="I70" s="760"/>
      <c r="J70" s="242">
        <v>105</v>
      </c>
      <c r="K70" s="242">
        <v>120</v>
      </c>
      <c r="L70" s="35"/>
      <c r="M70" s="35"/>
      <c r="N70" s="35"/>
      <c r="O70" s="36"/>
      <c r="P70" s="272"/>
      <c r="Q70" s="25"/>
      <c r="R70" s="245"/>
      <c r="S70" s="398" t="s">
        <v>312</v>
      </c>
      <c r="T70" s="212" t="s">
        <v>38</v>
      </c>
      <c r="U70" s="213" t="s">
        <v>39</v>
      </c>
      <c r="V70" s="213" t="s">
        <v>223</v>
      </c>
      <c r="W70" s="214" t="s">
        <v>227</v>
      </c>
      <c r="X70" s="246" t="s">
        <v>289</v>
      </c>
      <c r="Y70" s="237"/>
      <c r="AA70" s="11"/>
      <c r="AB70" s="5"/>
      <c r="AC70" s="7"/>
      <c r="AD70" s="7"/>
    </row>
    <row r="71" spans="1:31" ht="30" customHeight="1">
      <c r="B71" s="400" t="s">
        <v>287</v>
      </c>
      <c r="C71" s="243" t="s">
        <v>161</v>
      </c>
      <c r="D71" s="767" t="s">
        <v>246</v>
      </c>
      <c r="E71" s="768"/>
      <c r="F71" s="43" t="s">
        <v>80</v>
      </c>
      <c r="G71" s="903" t="s">
        <v>317</v>
      </c>
      <c r="H71" s="769"/>
      <c r="I71" s="244">
        <f>IF($Q$61=TRUE,IFERROR(VLOOKUP(D71&amp;F71&amp;G71,柱の圧縮基準強度!$A$4:$F$187,6,0),"該当なし"),"")</f>
        <v>17.7</v>
      </c>
      <c r="J71" s="342">
        <f>IF($Q$61=TRUE,T71,"")</f>
        <v>17.3</v>
      </c>
      <c r="K71" s="342">
        <f>IF($Q$61=TRUE,U71,"")</f>
        <v>29.2</v>
      </c>
      <c r="L71" s="774" t="str">
        <f>IFERROR(IF($Q$61=TRUE,V71,""),"")</f>
        <v/>
      </c>
      <c r="M71" s="774"/>
      <c r="N71" s="774" t="str">
        <f>IFERROR(IF($Q$61=TRUE,W71,""),"")</f>
        <v/>
      </c>
      <c r="O71" s="899"/>
      <c r="P71" s="272"/>
      <c r="Q71" s="33"/>
      <c r="R71" s="248"/>
      <c r="S71" s="399"/>
      <c r="T71" s="249">
        <f>IF($T65="",IFERROR(ROUNDDOWN(1.1/3*$T64*$I71*J70*J70/$T$39/1000,1),""),$T65)</f>
        <v>17.3</v>
      </c>
      <c r="U71" s="250">
        <f>IF($U65="",IFERROR(ROUNDDOWN(1.1/3*$U64*$I71*K70*K70/$T$39/1000,1),""),$U65)</f>
        <v>29.2</v>
      </c>
      <c r="V71" s="251" t="e">
        <f>IF(V65="",IFERROR(ROUNDDOWN(1.1/3*V64*$I71*L70*M70/$T$39/1000,1),""),V65)</f>
        <v>#DIV/0!</v>
      </c>
      <c r="W71" s="251" t="e">
        <f>IF(W65="",IFERROR(ROUNDDOWN(1.1/3*W64*$I71*N70*O70/$T$39/1000,1),""),W65)</f>
        <v>#DIV/0!</v>
      </c>
      <c r="X71" s="194" t="str">
        <f>IF(D71="JAS機械等級区分構造用製材","機械",IF(D71="JAS目視等級区分構造用製材", "目視",IF(D71="無等級材","無等級",IF(D71="JAS同一等級構成集成材","集成材","LVL"))))</f>
        <v>無等級</v>
      </c>
      <c r="Y71" s="237"/>
      <c r="AA71" s="5"/>
      <c r="AB71" s="7"/>
      <c r="AC71" s="7"/>
      <c r="AD71" s="7"/>
    </row>
    <row r="72" spans="1:31" ht="30" customHeight="1">
      <c r="B72" s="401"/>
      <c r="C72" s="84" t="s">
        <v>162</v>
      </c>
      <c r="D72" s="761"/>
      <c r="E72" s="762"/>
      <c r="F72" s="57"/>
      <c r="G72" s="762"/>
      <c r="H72" s="763"/>
      <c r="I72" s="247" t="str">
        <f>IF($Q$61=TRUE,IFERROR(VLOOKUP(D72&amp;F72&amp;G72,柱の圧縮基準強度!$A$4:$F$187,6,0),"該当なし"),"")</f>
        <v>該当なし</v>
      </c>
      <c r="J72" s="343" t="str">
        <f t="shared" ref="J72:J81" si="5">IF($Q$61=TRUE,T72,"")</f>
        <v/>
      </c>
      <c r="K72" s="343" t="str">
        <f t="shared" ref="K72:K81" si="6">IF($Q$61=TRUE,U72,"")</f>
        <v/>
      </c>
      <c r="L72" s="773" t="str">
        <f t="shared" ref="L72:L81" si="7">IFERROR(IF($Q$61=TRUE,V72,""),"")</f>
        <v/>
      </c>
      <c r="M72" s="773"/>
      <c r="N72" s="773" t="str">
        <f>IFERROR(IF($Q$61=TRUE,W72,""),"")</f>
        <v/>
      </c>
      <c r="O72" s="929"/>
      <c r="P72" s="272"/>
      <c r="Q72" s="34"/>
      <c r="R72" s="248"/>
      <c r="S72" s="248"/>
      <c r="T72" s="253" t="str">
        <f>IF(T65="",IFERROR(ROUNDDOWN(1.1/3*T64*$I72*J70*J70/$T$39/1000,1),""),T65)</f>
        <v/>
      </c>
      <c r="U72" s="254" t="str">
        <f>IF(U65="",IFERROR(ROUNDDOWN(1.1/3*U64*$I72*K70*K70/$T$39/1000,1),""),U65)</f>
        <v/>
      </c>
      <c r="V72" s="255" t="e">
        <f>IF(V65="",IFERROR(ROUNDDOWN(1.1/3*V64*$I72*L70*M70/$T$39/1000,1),""),V65)</f>
        <v>#DIV/0!</v>
      </c>
      <c r="W72" s="256" t="e">
        <f>IF(W65="",IFERROR(ROUNDDOWN(1.1/3*W64*$I72*N70*O70/$T$39/1000,1),""),W65)</f>
        <v>#DIV/0!</v>
      </c>
      <c r="X72" s="257" t="str">
        <f>IF(D72="JAS機械等級区分構造用製材","機械",IF(D72="JAS目視等級区分構造用製材", "目視",IF(D72="無等級材","無等級",IF(D72="JAS同一等級構成集成材","集成材","LVL"))))</f>
        <v>LVL</v>
      </c>
      <c r="Y72" s="237"/>
      <c r="AA72" s="5"/>
      <c r="AB72" s="7"/>
      <c r="AC72" s="7"/>
      <c r="AD72" s="7"/>
    </row>
    <row r="73" spans="1:31" ht="30" customHeight="1" thickBot="1">
      <c r="B73" s="402"/>
      <c r="C73" s="252" t="s">
        <v>170</v>
      </c>
      <c r="D73" s="410" t="s">
        <v>500</v>
      </c>
      <c r="E73" s="411"/>
      <c r="F73" s="412"/>
      <c r="G73" s="825" t="s">
        <v>324</v>
      </c>
      <c r="H73" s="826"/>
      <c r="I73" s="56"/>
      <c r="J73" s="344">
        <f>IF($Q$61=TRUE,T73,"")</f>
        <v>0</v>
      </c>
      <c r="K73" s="344">
        <f>IF($Q$61=TRUE,U73,"")</f>
        <v>0</v>
      </c>
      <c r="L73" s="938" t="str">
        <f t="shared" ref="L73" si="8">IFERROR(IF($Q$61=TRUE,V73,""),"")</f>
        <v/>
      </c>
      <c r="M73" s="938"/>
      <c r="N73" s="938" t="str">
        <f>IFERROR(IF($Q$61=TRUE,W73,""),"")</f>
        <v/>
      </c>
      <c r="O73" s="939"/>
      <c r="P73" s="272"/>
      <c r="Q73" s="34"/>
      <c r="R73" s="248"/>
      <c r="S73" s="248"/>
      <c r="T73" s="253">
        <f>IF(T65="",IFERROR(ROUNDDOWN(1.1/3*T64*$I73*J70*J70/$T$39/1000,1),""),T65)</f>
        <v>0</v>
      </c>
      <c r="U73" s="254">
        <f>IF(U65="",IFERROR(ROUNDDOWN(1.1/3*U64*$I73*K70*K70/$T$39/1000,1),""),U65)</f>
        <v>0</v>
      </c>
      <c r="V73" s="255" t="e">
        <f>IF(V65="",IFERROR(ROUNDDOWN(1.1/3*V64*$I73*L70*M70/$T$39/1000,1),""),V65)</f>
        <v>#DIV/0!</v>
      </c>
      <c r="W73" s="256" t="e">
        <f>IF(W65="",IFERROR(ROUNDDOWN(1.1/3*W64*$I73*N70*O70/$T$39/1000,1),""),W65)</f>
        <v>#DIV/0!</v>
      </c>
      <c r="X73" s="257"/>
      <c r="Y73" s="237"/>
      <c r="AA73" s="5"/>
      <c r="AB73" s="5"/>
    </row>
    <row r="74" spans="1:31" ht="30" customHeight="1">
      <c r="B74" s="401" t="s">
        <v>285</v>
      </c>
      <c r="C74" s="258" t="s">
        <v>161</v>
      </c>
      <c r="D74" s="926" t="s">
        <v>246</v>
      </c>
      <c r="E74" s="927"/>
      <c r="F74" s="42" t="s">
        <v>80</v>
      </c>
      <c r="G74" s="927" t="s">
        <v>317</v>
      </c>
      <c r="H74" s="928"/>
      <c r="I74" s="259">
        <f>IF($Q$61=TRUE,IFERROR(VLOOKUP(D74&amp;F74&amp;G74,柱の圧縮基準強度!$A$4:$F$187,6,0),"該当なし"),"")</f>
        <v>17.7</v>
      </c>
      <c r="J74" s="345">
        <f t="shared" si="5"/>
        <v>23.5</v>
      </c>
      <c r="K74" s="345">
        <f t="shared" si="6"/>
        <v>39.5</v>
      </c>
      <c r="L74" s="764" t="str">
        <f t="shared" si="7"/>
        <v/>
      </c>
      <c r="M74" s="764"/>
      <c r="N74" s="764" t="str">
        <f t="shared" ref="N74:N81" si="9">IFERROR(IF($Q$61=TRUE,W74,""),"")</f>
        <v/>
      </c>
      <c r="O74" s="932"/>
      <c r="P74" s="272"/>
      <c r="Q74" s="34"/>
      <c r="R74" s="14"/>
      <c r="S74" s="17"/>
      <c r="T74" s="260">
        <f>IF(T65="",IFERROR(ROUNDDOWN(1.1/3*T64*$I74*J70*J70/$U$39/1000,1),""),T65)</f>
        <v>23.5</v>
      </c>
      <c r="U74" s="255">
        <f>IF(U65="",IFERROR(ROUNDDOWN(1.1/3*U64*$I74*K70*K70/$U$39/1000,1),""),U65)</f>
        <v>39.5</v>
      </c>
      <c r="V74" s="255" t="e">
        <f>IF(V65="",IFERROR(ROUNDDOWN(1.1/3*V64*$I74*L70*M70/$U$39/1000,1),""),V65)</f>
        <v>#DIV/0!</v>
      </c>
      <c r="W74" s="256" t="e">
        <f>IF(W65="",IFERROR(ROUNDDOWN(1.1/3*W64*$I74*N70*O70/$U$39/1000,1),""),W65)</f>
        <v>#DIV/0!</v>
      </c>
      <c r="X74" s="257" t="str">
        <f>IF(D74="JAS機械等級区分構造用製材","機械",IF(D74="JAS目視等級区分構造用製材", "目視",IF(D74="無等級材","無等級",IF(D74="JAS同一等級構成集成材","集成材","LVL"))))</f>
        <v>無等級</v>
      </c>
      <c r="Y74" s="237"/>
      <c r="AA74" s="5"/>
      <c r="AB74" s="5"/>
    </row>
    <row r="75" spans="1:31" ht="30" customHeight="1" thickBot="1">
      <c r="B75" s="401"/>
      <c r="C75" s="84" t="s">
        <v>162</v>
      </c>
      <c r="D75" s="761"/>
      <c r="E75" s="762"/>
      <c r="F75" s="57"/>
      <c r="G75" s="762"/>
      <c r="H75" s="763"/>
      <c r="I75" s="247" t="str">
        <f>IF($Q$61=TRUE,IFERROR(VLOOKUP(D75&amp;F75&amp;G75,柱の圧縮基準強度!$A$4:$F$187,6,0),"該当なし"),"")</f>
        <v>該当なし</v>
      </c>
      <c r="J75" s="343" t="str">
        <f t="shared" si="5"/>
        <v/>
      </c>
      <c r="K75" s="343" t="str">
        <f t="shared" si="6"/>
        <v/>
      </c>
      <c r="L75" s="773" t="str">
        <f t="shared" si="7"/>
        <v/>
      </c>
      <c r="M75" s="773"/>
      <c r="N75" s="773" t="str">
        <f t="shared" si="9"/>
        <v/>
      </c>
      <c r="O75" s="929"/>
      <c r="P75" s="272"/>
      <c r="Q75" s="34"/>
      <c r="R75" s="17"/>
      <c r="S75" s="17"/>
      <c r="T75" s="261" t="str">
        <f>IF(T65="",IFERROR(ROUNDDOWN(1.1/3*T64*$I75*J70*J70/$U$39/1000,1),""),T65)</f>
        <v/>
      </c>
      <c r="U75" s="262" t="str">
        <f>IF(U65="",IFERROR(ROUNDDOWN(1.1/3*U64*$I75*K70*K70/$U$39/1000,1),""),U65)</f>
        <v/>
      </c>
      <c r="V75" s="262" t="e">
        <f>IF(V65="",IFERROR(ROUNDDOWN(1.1/3*V64*$I75*L70*M70/$U$39/1000,1),""),V65)</f>
        <v>#DIV/0!</v>
      </c>
      <c r="W75" s="262" t="e">
        <f>IF(W65="",IFERROR(ROUNDDOWN(1.1/3*W64*$I75*N70*O70/$U$39/1000,1),""),W65)</f>
        <v>#DIV/0!</v>
      </c>
      <c r="X75" s="183" t="str">
        <f>IF(D75="JAS機械等級区分構造用製材","機械",IF(D75="JAS目視等級区分構造用製材", "目視",IF(D75="無等級材","無等級",IF(D75="JAS同一等級構成集成材","集成材","LVL"))))</f>
        <v>LVL</v>
      </c>
      <c r="Y75" s="237"/>
      <c r="AA75" s="5"/>
      <c r="AB75" s="5"/>
    </row>
    <row r="76" spans="1:31" ht="30" customHeight="1" thickBot="1">
      <c r="B76" s="402"/>
      <c r="C76" s="252" t="s">
        <v>170</v>
      </c>
      <c r="D76" s="410" t="s">
        <v>500</v>
      </c>
      <c r="E76" s="411"/>
      <c r="F76" s="412"/>
      <c r="G76" s="825" t="s">
        <v>324</v>
      </c>
      <c r="H76" s="826"/>
      <c r="I76" s="56"/>
      <c r="J76" s="346">
        <f>IF($Q$61=TRUE,T76,"")</f>
        <v>0</v>
      </c>
      <c r="K76" s="346">
        <f t="shared" ref="K76" si="10">IF($Q$61=TRUE,U76,"")</f>
        <v>0</v>
      </c>
      <c r="L76" s="943" t="str">
        <f t="shared" ref="L76" si="11">IFERROR(IF($Q$61=TRUE,V76,""),"")</f>
        <v/>
      </c>
      <c r="M76" s="943"/>
      <c r="N76" s="943" t="str">
        <f t="shared" ref="N76" si="12">IFERROR(IF($Q$61=TRUE,W76,""),"")</f>
        <v/>
      </c>
      <c r="O76" s="944"/>
      <c r="P76" s="272"/>
      <c r="Q76" s="34"/>
      <c r="R76" s="17"/>
      <c r="S76" s="17"/>
      <c r="T76" s="261">
        <f>IF(T65="",IFERROR(ROUNDDOWN(1.1/3*T64*$I76*J70*J70/$U$39/1000,1),""),T65)</f>
        <v>0</v>
      </c>
      <c r="U76" s="262">
        <f>IF(U65="",IFERROR(ROUNDDOWN(1.1/3*U64*$I76*K70*K70/$U$39/1000,1),""),U65)</f>
        <v>0</v>
      </c>
      <c r="V76" s="262" t="e">
        <f>IF(V65="",IFERROR(ROUNDDOWN(1.1/3*V64*$I76*L70*M70/$U$39/1000,1),""),V65)</f>
        <v>#DIV/0!</v>
      </c>
      <c r="W76" s="262" t="e">
        <f>IF(W65="",IFERROR(ROUNDDOWN(1.1/3*W64*$I76*N70*O70/$U$39/1000,1),""),W65)</f>
        <v>#DIV/0!</v>
      </c>
      <c r="X76" s="167"/>
      <c r="Y76" s="237"/>
      <c r="AA76" s="5"/>
      <c r="AB76" s="5"/>
    </row>
    <row r="77" spans="1:31" ht="30" customHeight="1">
      <c r="B77" s="400" t="s">
        <v>288</v>
      </c>
      <c r="C77" s="243" t="s">
        <v>161</v>
      </c>
      <c r="D77" s="767" t="s">
        <v>246</v>
      </c>
      <c r="E77" s="768"/>
      <c r="F77" s="43" t="s">
        <v>80</v>
      </c>
      <c r="G77" s="768" t="s">
        <v>317</v>
      </c>
      <c r="H77" s="769"/>
      <c r="I77" s="244">
        <f>IF($Q$61=TRUE,IFERROR(VLOOKUP(D77&amp;F77&amp;G77,柱の圧縮基準強度!$A$4:$F$187,6,0),"該当なし"),"")</f>
        <v>17.7</v>
      </c>
      <c r="J77" s="342">
        <f>IF($Q$61=TRUE,T77,"")</f>
        <v>5.0999999999999996</v>
      </c>
      <c r="K77" s="342">
        <f t="shared" si="6"/>
        <v>9.1</v>
      </c>
      <c r="L77" s="774" t="str">
        <f t="shared" si="7"/>
        <v/>
      </c>
      <c r="M77" s="774"/>
      <c r="N77" s="774" t="str">
        <f t="shared" si="9"/>
        <v/>
      </c>
      <c r="O77" s="899"/>
      <c r="P77" s="272"/>
      <c r="Q77" s="34"/>
      <c r="T77" s="263">
        <f>IF(T69="",IFERROR(ROUNDDOWN(1.1/3*T68*$I77*J70*J70/$T$40/1000,1),""),T69)</f>
        <v>5.0999999999999996</v>
      </c>
      <c r="U77" s="264">
        <f>IF(U69="",IFERROR(ROUNDDOWN(1.1/3*U68*$I77*K70*K70/$T$40/1000,1),""),U69)</f>
        <v>9.1</v>
      </c>
      <c r="V77" s="264" t="e">
        <f>IF(V69="",IFERROR(ROUNDDOWN(1.1/3*V68*$I77*L70*M70/$T$40/1000,1),""),V69)</f>
        <v>#DIV/0!</v>
      </c>
      <c r="W77" s="264" t="e">
        <f>IF(W69="",IFERROR(ROUNDDOWN(1.1/3*W68*$I77*N70*O70/$T$40/1000,1),""),W69)</f>
        <v>#DIV/0!</v>
      </c>
      <c r="X77" s="176" t="str">
        <f>IF(D77="JAS機械等級区分構造用製材","機械",IF(D77="JAS目視等級区分構造用製材", "目視",IF(D77="無等級材","無等級",IF(D77="JAS同一等級構成集成材","集成材","LVL"))))</f>
        <v>無等級</v>
      </c>
      <c r="Y77" s="237"/>
      <c r="AA77" s="5"/>
      <c r="AB77" s="5"/>
    </row>
    <row r="78" spans="1:31" ht="30" customHeight="1">
      <c r="B78" s="401"/>
      <c r="C78" s="84" t="s">
        <v>162</v>
      </c>
      <c r="D78" s="761"/>
      <c r="E78" s="762"/>
      <c r="F78" s="57"/>
      <c r="G78" s="762"/>
      <c r="H78" s="763"/>
      <c r="I78" s="247" t="str">
        <f>IF($Q$61=TRUE,IFERROR(VLOOKUP(D78&amp;F78&amp;G78,柱の圧縮基準強度!$A$4:$F$187,6,0),"該当なし"),"")</f>
        <v>該当なし</v>
      </c>
      <c r="J78" s="343" t="str">
        <f t="shared" si="5"/>
        <v/>
      </c>
      <c r="K78" s="343" t="str">
        <f t="shared" si="6"/>
        <v/>
      </c>
      <c r="L78" s="773" t="str">
        <f t="shared" si="7"/>
        <v/>
      </c>
      <c r="M78" s="773"/>
      <c r="N78" s="773" t="str">
        <f t="shared" si="9"/>
        <v/>
      </c>
      <c r="O78" s="929"/>
      <c r="P78" s="272"/>
      <c r="Q78" s="34"/>
      <c r="T78" s="260" t="str">
        <f>IF(T69="",IFERROR(ROUNDDOWN(1.1/3*T68*$I78*J70*J70/$T$40/1000,1),""),T69)</f>
        <v/>
      </c>
      <c r="U78" s="255" t="str">
        <f>IF(U69="",IFERROR(ROUNDDOWN(1.1/3*U68*$I78*K70*K70/$T$40/1000,1),""),U69)</f>
        <v/>
      </c>
      <c r="V78" s="256" t="e">
        <f>IF(V69="",IFERROR(ROUNDDOWN(1.1/3*V68*$I78*L70*M70/$T$40/1000,1),""),V69)</f>
        <v>#DIV/0!</v>
      </c>
      <c r="W78" s="256" t="e">
        <f>IF(W69="",IFERROR(ROUNDDOWN(1.1/3*W68*$I78*N70*O70/$T$40/1000,1),""),W69)</f>
        <v>#DIV/0!</v>
      </c>
      <c r="X78" s="257" t="str">
        <f>IF(D78="JAS機械等級区分構造用製材","機械",IF(D78="JAS目視等級区分構造用製材", "目視",IF(D78="無等級材","無等級",IF(D78="JAS同一等級構成集成材","集成材","LVL"))))</f>
        <v>LVL</v>
      </c>
      <c r="Y78" s="237"/>
      <c r="AA78" s="5"/>
      <c r="AB78" s="5"/>
    </row>
    <row r="79" spans="1:31" ht="30" customHeight="1" thickBot="1">
      <c r="B79" s="402"/>
      <c r="C79" s="252" t="s">
        <v>170</v>
      </c>
      <c r="D79" s="410" t="s">
        <v>500</v>
      </c>
      <c r="E79" s="411"/>
      <c r="F79" s="412"/>
      <c r="G79" s="825" t="s">
        <v>324</v>
      </c>
      <c r="H79" s="826"/>
      <c r="I79" s="56"/>
      <c r="J79" s="347">
        <f t="shared" ref="J79" si="13">IF($Q$61=TRUE,T79,"")</f>
        <v>0</v>
      </c>
      <c r="K79" s="347">
        <f>IF($Q$61=TRUE,U79,"")</f>
        <v>0</v>
      </c>
      <c r="L79" s="827" t="str">
        <f t="shared" ref="L79" si="14">IFERROR(IF($Q$61=TRUE,V79,""),"")</f>
        <v/>
      </c>
      <c r="M79" s="827"/>
      <c r="N79" s="827" t="str">
        <f t="shared" ref="N79" si="15">IFERROR(IF($Q$61=TRUE,W79,""),"")</f>
        <v/>
      </c>
      <c r="O79" s="942"/>
      <c r="P79" s="272"/>
      <c r="Q79" s="34"/>
      <c r="T79" s="260">
        <f>IF(T69="",IFERROR(ROUNDDOWN(1.1/3*T68*$I79*J70*J70/$T$40/1000,1),""),T69)</f>
        <v>0</v>
      </c>
      <c r="U79" s="255">
        <f>IF(U69="",IFERROR(ROUNDDOWN(1.1/3*U68*$I79*K70*K70/$T$40/1000,1),""),U69)</f>
        <v>0</v>
      </c>
      <c r="V79" s="256" t="e">
        <f>IF(V69="",IFERROR(ROUNDDOWN(1.1/3*V68*$I79*L70*M70/$T$40/1000,1),""),V69)</f>
        <v>#DIV/0!</v>
      </c>
      <c r="W79" s="256" t="e">
        <f>IF(W69="",IFERROR(ROUNDDOWN(1.1/3*W68*$I79*N70*O70/$T$40/1000,1),""),W69)</f>
        <v>#DIV/0!</v>
      </c>
      <c r="X79" s="257"/>
      <c r="Y79" s="237"/>
      <c r="AA79" s="5"/>
      <c r="AB79" s="5"/>
    </row>
    <row r="80" spans="1:31" ht="30" customHeight="1">
      <c r="B80" s="400" t="s">
        <v>286</v>
      </c>
      <c r="C80" s="243" t="s">
        <v>161</v>
      </c>
      <c r="D80" s="767" t="s">
        <v>246</v>
      </c>
      <c r="E80" s="768"/>
      <c r="F80" s="43" t="s">
        <v>80</v>
      </c>
      <c r="G80" s="768" t="s">
        <v>317</v>
      </c>
      <c r="H80" s="769"/>
      <c r="I80" s="244">
        <f>IF($Q$61=TRUE,IFERROR(VLOOKUP(D80&amp;F80&amp;G80,柱の圧縮基準強度!$A$4:$F$187,6,0),"該当なし"),"")</f>
        <v>17.7</v>
      </c>
      <c r="J80" s="342">
        <f t="shared" si="5"/>
        <v>7.1</v>
      </c>
      <c r="K80" s="342">
        <f t="shared" si="6"/>
        <v>12.7</v>
      </c>
      <c r="L80" s="774" t="str">
        <f t="shared" si="7"/>
        <v/>
      </c>
      <c r="M80" s="774"/>
      <c r="N80" s="774" t="str">
        <f t="shared" si="9"/>
        <v/>
      </c>
      <c r="O80" s="899"/>
      <c r="P80" s="272"/>
      <c r="Q80" s="34"/>
      <c r="R80" s="17"/>
      <c r="S80" s="17"/>
      <c r="T80" s="112">
        <f>IF(T69="",IFERROR(ROUNDDOWN(1.1/3*T68*$I80*J70*J70/$U$40/1000,1),""),T69)</f>
        <v>7.1</v>
      </c>
      <c r="U80" s="256">
        <f>IF(U69="",IFERROR(ROUNDDOWN(1.1/3*U68*$I80*K70*K70/$U$40/1000,1),""),U69)</f>
        <v>12.7</v>
      </c>
      <c r="V80" s="256" t="e">
        <f>IF(V69="",IFERROR(ROUNDDOWN(1.1/3*V68*$I80*L70*M70/$U$40/1000,1),""),V69)</f>
        <v>#DIV/0!</v>
      </c>
      <c r="W80" s="256" t="e">
        <f>IF(W69="",IFERROR(ROUNDDOWN(1.1/3*W68*$I80*N70*O70/$U$40/1000,1),""),W69)</f>
        <v>#DIV/0!</v>
      </c>
      <c r="X80" s="257" t="str">
        <f>IF(D80="JAS機械等級区分構造用製材","機械",IF(D80="JAS目視等級区分構造用製材", "目視",IF(D80="無等級材","無等級",IF(D80="JAS同一等級構成集成材","集成材","LVL"))))</f>
        <v>無等級</v>
      </c>
      <c r="Y80" s="237"/>
      <c r="AA80" s="5"/>
      <c r="AB80" s="5"/>
    </row>
    <row r="81" spans="2:28" ht="30" customHeight="1" thickBot="1">
      <c r="B81" s="401"/>
      <c r="C81" s="84" t="s">
        <v>162</v>
      </c>
      <c r="D81" s="761"/>
      <c r="E81" s="762"/>
      <c r="F81" s="57"/>
      <c r="G81" s="762"/>
      <c r="H81" s="763"/>
      <c r="I81" s="247" t="str">
        <f>IF($Q$61=TRUE,IFERROR(VLOOKUP(D81&amp;F81&amp;G81,柱の圧縮基準強度!$A$4:$F$187,6,0),"該当なし"),"")</f>
        <v>該当なし</v>
      </c>
      <c r="J81" s="343" t="str">
        <f t="shared" si="5"/>
        <v/>
      </c>
      <c r="K81" s="343" t="str">
        <f t="shared" si="6"/>
        <v/>
      </c>
      <c r="L81" s="773" t="str">
        <f t="shared" si="7"/>
        <v/>
      </c>
      <c r="M81" s="773"/>
      <c r="N81" s="773" t="str">
        <f t="shared" si="9"/>
        <v/>
      </c>
      <c r="O81" s="929"/>
      <c r="P81" s="272"/>
      <c r="Q81" s="34"/>
      <c r="T81" s="118" t="str">
        <f>IF(T69="",IFERROR(ROUNDDOWN(1.1/3*T68*$I81*J70*J70/$U$40/1000,1),""),T69)</f>
        <v/>
      </c>
      <c r="U81" s="262" t="str">
        <f>IF(U69="",IFERROR(ROUNDDOWN(1.1/3*U68*$I81*K70*K70/$U$40/1000,1),""),U69)</f>
        <v/>
      </c>
      <c r="V81" s="262" t="e">
        <f>IF(V69="",IFERROR(ROUNDDOWN(1.1/3*V68*$I81*L70*M70/$U$40/1000,1),""),V69)</f>
        <v>#DIV/0!</v>
      </c>
      <c r="W81" s="262" t="e">
        <f>IF(W69="",IFERROR(ROUNDDOWN(1.1/3*W68*$I81*N70*O70/$U$40/1000,1),""),W69)</f>
        <v>#DIV/0!</v>
      </c>
      <c r="X81" s="183" t="str">
        <f>IF(D81="JAS機械等級区分構造用製材","機械",IF(D81="JAS目視等級区分構造用製材", "目視",IF(D81="無等級材","無等級",IF(D81="JAS同一等級構成集成材","集成材","LVL"))))</f>
        <v>LVL</v>
      </c>
      <c r="Y81" s="237"/>
      <c r="AA81" s="5"/>
      <c r="AB81" s="5"/>
    </row>
    <row r="82" spans="2:28" ht="30" customHeight="1" thickBot="1">
      <c r="B82" s="402"/>
      <c r="C82" s="252" t="s">
        <v>170</v>
      </c>
      <c r="D82" s="410" t="s">
        <v>500</v>
      </c>
      <c r="E82" s="411"/>
      <c r="F82" s="412"/>
      <c r="G82" s="825" t="s">
        <v>324</v>
      </c>
      <c r="H82" s="826"/>
      <c r="I82" s="56"/>
      <c r="J82" s="347">
        <f t="shared" ref="J82" si="16">IF($Q$61=TRUE,T82,"")</f>
        <v>0</v>
      </c>
      <c r="K82" s="347">
        <f t="shared" ref="K82" si="17">IF($Q$61=TRUE,U82,"")</f>
        <v>0</v>
      </c>
      <c r="L82" s="827" t="str">
        <f t="shared" ref="L82" si="18">IFERROR(IF($Q$61=TRUE,V82,""),"")</f>
        <v/>
      </c>
      <c r="M82" s="827"/>
      <c r="N82" s="827" t="str">
        <f t="shared" ref="N82" si="19">IFERROR(IF($Q$61=TRUE,W82,""),"")</f>
        <v/>
      </c>
      <c r="O82" s="942"/>
      <c r="P82" s="21"/>
      <c r="Q82" s="34"/>
      <c r="T82" s="118">
        <f>IF(T69="",IFERROR(ROUNDDOWN(1.1/3*T68*$I82*J70*J70/$U$40/1000,1),""),T69)</f>
        <v>0</v>
      </c>
      <c r="U82" s="262">
        <f>IF(U69="",IFERROR(ROUNDDOWN(1.1/3*U68*$I82*K70*K70/$U$40/1000,1),""),U69)</f>
        <v>0</v>
      </c>
      <c r="V82" s="262" t="e">
        <f>IF(V69="",IFERROR(ROUNDDOWN(1.1/3*V68*$I82*L70*M70/$U$40/1000,1),""),V69)</f>
        <v>#DIV/0!</v>
      </c>
      <c r="W82" s="262" t="e">
        <f>IF(W69="",IFERROR(ROUNDDOWN(1.1/3*W68*$I82*N70*O70/$U$40/1000,1),""),W69)</f>
        <v>#DIV/0!</v>
      </c>
      <c r="X82" s="183"/>
      <c r="Y82" s="237"/>
      <c r="AA82" s="5"/>
      <c r="AB82" s="5"/>
    </row>
    <row r="83" spans="2:28" ht="18" customHeight="1">
      <c r="B83" s="7" t="s">
        <v>308</v>
      </c>
      <c r="P83" s="54"/>
      <c r="Q83" s="34"/>
      <c r="X83" s="237"/>
      <c r="Y83" s="237"/>
      <c r="AA83" s="5"/>
      <c r="AB83" s="5"/>
    </row>
    <row r="84" spans="2:28" ht="30" customHeight="1">
      <c r="O84" s="265"/>
      <c r="P84" s="54"/>
      <c r="AA84" s="5"/>
      <c r="AB84" s="5"/>
    </row>
    <row r="85" spans="2:28" ht="30" customHeight="1">
      <c r="O85" s="265"/>
      <c r="P85" s="21"/>
      <c r="Q85" s="15"/>
      <c r="AA85" s="5"/>
      <c r="AB85" s="5"/>
    </row>
    <row r="86" spans="2:28" ht="30" customHeight="1">
      <c r="P86" s="21"/>
      <c r="Q86" s="15"/>
      <c r="AA86" s="5"/>
      <c r="AB86" s="5"/>
    </row>
    <row r="87" spans="2:28">
      <c r="P87" s="21"/>
      <c r="Q87" s="14"/>
      <c r="AA87" s="5"/>
      <c r="AB87" s="5"/>
    </row>
    <row r="88" spans="2:28">
      <c r="P88" s="21"/>
      <c r="AA88" s="5"/>
      <c r="AB88" s="5"/>
    </row>
    <row r="89" spans="2:28">
      <c r="P89" s="21"/>
      <c r="AA89" s="5"/>
    </row>
    <row r="91" spans="2:28">
      <c r="Q91" s="17"/>
    </row>
  </sheetData>
  <sheetProtection algorithmName="SHA-512" hashValue="hrE6LYRjXB21QbBsWnscflcO+TmF/nPii6EXpvOEoYw0seiEK8GsYjM6C+oguf9Zzru2gWSTCzBPrwk1lQ6nTA==" saltValue="1qMd0OTfGMxcrnFkWUPgNw==" spinCount="100000" sheet="1" objects="1" scenarios="1"/>
  <mergeCells count="238">
    <mergeCell ref="L82:M82"/>
    <mergeCell ref="N82:O82"/>
    <mergeCell ref="N81:O81"/>
    <mergeCell ref="D82:F82"/>
    <mergeCell ref="G82:H82"/>
    <mergeCell ref="N79:O79"/>
    <mergeCell ref="D75:E75"/>
    <mergeCell ref="G75:H75"/>
    <mergeCell ref="G77:H77"/>
    <mergeCell ref="G78:H78"/>
    <mergeCell ref="N76:O76"/>
    <mergeCell ref="N75:O75"/>
    <mergeCell ref="L81:M81"/>
    <mergeCell ref="D81:E81"/>
    <mergeCell ref="L75:M75"/>
    <mergeCell ref="N80:O80"/>
    <mergeCell ref="L77:M77"/>
    <mergeCell ref="L76:M76"/>
    <mergeCell ref="N77:O77"/>
    <mergeCell ref="D80:E80"/>
    <mergeCell ref="L80:M80"/>
    <mergeCell ref="G80:H80"/>
    <mergeCell ref="L78:M78"/>
    <mergeCell ref="G81:H81"/>
    <mergeCell ref="N78:O78"/>
    <mergeCell ref="G60:H60"/>
    <mergeCell ref="I54:K54"/>
    <mergeCell ref="F25:G28"/>
    <mergeCell ref="L52:O52"/>
    <mergeCell ref="I53:K53"/>
    <mergeCell ref="B67:C70"/>
    <mergeCell ref="I68:I70"/>
    <mergeCell ref="B71:B73"/>
    <mergeCell ref="D73:F73"/>
    <mergeCell ref="G73:H73"/>
    <mergeCell ref="L73:M73"/>
    <mergeCell ref="N73:O73"/>
    <mergeCell ref="D72:E72"/>
    <mergeCell ref="G72:H72"/>
    <mergeCell ref="I67:O67"/>
    <mergeCell ref="D68:E70"/>
    <mergeCell ref="D67:H67"/>
    <mergeCell ref="D56:F56"/>
    <mergeCell ref="L28:M28"/>
    <mergeCell ref="I56:K56"/>
    <mergeCell ref="N58:O58"/>
    <mergeCell ref="N61:O61"/>
    <mergeCell ref="I58:K58"/>
    <mergeCell ref="D74:E74"/>
    <mergeCell ref="D77:E77"/>
    <mergeCell ref="G74:H74"/>
    <mergeCell ref="N72:O72"/>
    <mergeCell ref="L71:M71"/>
    <mergeCell ref="D76:F76"/>
    <mergeCell ref="N60:O60"/>
    <mergeCell ref="L57:M57"/>
    <mergeCell ref="B49:O49"/>
    <mergeCell ref="L74:M74"/>
    <mergeCell ref="N74:O74"/>
    <mergeCell ref="I59:K59"/>
    <mergeCell ref="F68:F70"/>
    <mergeCell ref="B58:B61"/>
    <mergeCell ref="B77:B79"/>
    <mergeCell ref="B74:B76"/>
    <mergeCell ref="D78:E78"/>
    <mergeCell ref="D61:H61"/>
    <mergeCell ref="L61:M61"/>
    <mergeCell ref="I60:K60"/>
    <mergeCell ref="G59:H59"/>
    <mergeCell ref="D59:F59"/>
    <mergeCell ref="D60:F60"/>
    <mergeCell ref="D58:F58"/>
    <mergeCell ref="B80:B82"/>
    <mergeCell ref="N53:O53"/>
    <mergeCell ref="I55:K55"/>
    <mergeCell ref="B52:C53"/>
    <mergeCell ref="D52:K52"/>
    <mergeCell ref="D53:F53"/>
    <mergeCell ref="G53:H53"/>
    <mergeCell ref="F32:G32"/>
    <mergeCell ref="B44:C44"/>
    <mergeCell ref="B45:C45"/>
    <mergeCell ref="E44:F44"/>
    <mergeCell ref="E45:F45"/>
    <mergeCell ref="B32:B33"/>
    <mergeCell ref="H33:I33"/>
    <mergeCell ref="C32:E33"/>
    <mergeCell ref="H32:I32"/>
    <mergeCell ref="G76:H76"/>
    <mergeCell ref="D79:F79"/>
    <mergeCell ref="G79:H79"/>
    <mergeCell ref="L79:M79"/>
    <mergeCell ref="F33:G33"/>
    <mergeCell ref="B63:O63"/>
    <mergeCell ref="D41:F41"/>
    <mergeCell ref="L56:M56"/>
    <mergeCell ref="N56:O56"/>
    <mergeCell ref="C12:E12"/>
    <mergeCell ref="F13:G13"/>
    <mergeCell ref="R37:S38"/>
    <mergeCell ref="C14:E14"/>
    <mergeCell ref="F16:G16"/>
    <mergeCell ref="F14:G14"/>
    <mergeCell ref="G56:H56"/>
    <mergeCell ref="B41:C43"/>
    <mergeCell ref="D42:D43"/>
    <mergeCell ref="D54:F54"/>
    <mergeCell ref="D55:F55"/>
    <mergeCell ref="B54:B57"/>
    <mergeCell ref="L53:M53"/>
    <mergeCell ref="E42:F43"/>
    <mergeCell ref="B51:O51"/>
    <mergeCell ref="M47:N47"/>
    <mergeCell ref="N55:O55"/>
    <mergeCell ref="N54:O54"/>
    <mergeCell ref="L55:M55"/>
    <mergeCell ref="L54:M54"/>
    <mergeCell ref="G54:H54"/>
    <mergeCell ref="G55:H55"/>
    <mergeCell ref="B47:L47"/>
    <mergeCell ref="H22:K24"/>
    <mergeCell ref="L25:O25"/>
    <mergeCell ref="L24:M24"/>
    <mergeCell ref="N26:O26"/>
    <mergeCell ref="L19:O19"/>
    <mergeCell ref="L22:O22"/>
    <mergeCell ref="N27:O27"/>
    <mergeCell ref="T22:U22"/>
    <mergeCell ref="N28:O28"/>
    <mergeCell ref="L26:M26"/>
    <mergeCell ref="L27:M27"/>
    <mergeCell ref="L23:M23"/>
    <mergeCell ref="N23:O23"/>
    <mergeCell ref="N24:O24"/>
    <mergeCell ref="F19:G21"/>
    <mergeCell ref="H17:O17"/>
    <mergeCell ref="T21:U21"/>
    <mergeCell ref="T20:U20"/>
    <mergeCell ref="T19:U19"/>
    <mergeCell ref="H15:O15"/>
    <mergeCell ref="H14:O14"/>
    <mergeCell ref="H18:O18"/>
    <mergeCell ref="F12:G12"/>
    <mergeCell ref="H12:O12"/>
    <mergeCell ref="T16:U16"/>
    <mergeCell ref="S70:S71"/>
    <mergeCell ref="G58:H58"/>
    <mergeCell ref="R66:R69"/>
    <mergeCell ref="N68:O68"/>
    <mergeCell ref="N57:O57"/>
    <mergeCell ref="R62:R65"/>
    <mergeCell ref="L72:M72"/>
    <mergeCell ref="N71:O71"/>
    <mergeCell ref="L68:M68"/>
    <mergeCell ref="G68:H70"/>
    <mergeCell ref="I57:K57"/>
    <mergeCell ref="D57:H57"/>
    <mergeCell ref="N59:O59"/>
    <mergeCell ref="G71:H71"/>
    <mergeCell ref="D71:E71"/>
    <mergeCell ref="I61:K61"/>
    <mergeCell ref="L60:M60"/>
    <mergeCell ref="L59:M59"/>
    <mergeCell ref="L58:M58"/>
    <mergeCell ref="T1:U1"/>
    <mergeCell ref="T23:U23"/>
    <mergeCell ref="R40:S40"/>
    <mergeCell ref="T10:U10"/>
    <mergeCell ref="T11:U11"/>
    <mergeCell ref="T4:U4"/>
    <mergeCell ref="T6:U6"/>
    <mergeCell ref="T5:U5"/>
    <mergeCell ref="R8:R9"/>
    <mergeCell ref="R39:S39"/>
    <mergeCell ref="R31:S31"/>
    <mergeCell ref="R32:S32"/>
    <mergeCell ref="R19:R20"/>
    <mergeCell ref="T37:T38"/>
    <mergeCell ref="T7:U7"/>
    <mergeCell ref="T25:U25"/>
    <mergeCell ref="U37:U38"/>
    <mergeCell ref="T3:U3"/>
    <mergeCell ref="T2:U2"/>
    <mergeCell ref="T13:U13"/>
    <mergeCell ref="T8:U8"/>
    <mergeCell ref="T18:U18"/>
    <mergeCell ref="T17:U17"/>
    <mergeCell ref="R14:R18"/>
    <mergeCell ref="M3:O3"/>
    <mergeCell ref="A1:O2"/>
    <mergeCell ref="B11:B28"/>
    <mergeCell ref="C13:E13"/>
    <mergeCell ref="F15:G15"/>
    <mergeCell ref="F22:G24"/>
    <mergeCell ref="C15:E15"/>
    <mergeCell ref="H19:K21"/>
    <mergeCell ref="C19:E21"/>
    <mergeCell ref="C22:E24"/>
    <mergeCell ref="H25:K28"/>
    <mergeCell ref="C25:E28"/>
    <mergeCell ref="L20:O20"/>
    <mergeCell ref="L21:O21"/>
    <mergeCell ref="C18:E18"/>
    <mergeCell ref="C17:E17"/>
    <mergeCell ref="H16:O16"/>
    <mergeCell ref="C11:E11"/>
    <mergeCell ref="H13:O13"/>
    <mergeCell ref="H11:O11"/>
    <mergeCell ref="C16:E16"/>
    <mergeCell ref="F11:G11"/>
    <mergeCell ref="F18:G18"/>
    <mergeCell ref="F17:G17"/>
    <mergeCell ref="W2:X2"/>
    <mergeCell ref="W7:X7"/>
    <mergeCell ref="W8:X8"/>
    <mergeCell ref="V25:W25"/>
    <mergeCell ref="W37:W38"/>
    <mergeCell ref="V9:W9"/>
    <mergeCell ref="X11:Y11"/>
    <mergeCell ref="Y37:Y38"/>
    <mergeCell ref="V37:V38"/>
    <mergeCell ref="X37:X38"/>
    <mergeCell ref="X12:Y12"/>
    <mergeCell ref="Y30:Z30"/>
    <mergeCell ref="Z37:Z38"/>
    <mergeCell ref="T9:U9"/>
    <mergeCell ref="T12:U12"/>
    <mergeCell ref="T15:U15"/>
    <mergeCell ref="T14:U14"/>
    <mergeCell ref="A4:C4"/>
    <mergeCell ref="D4:F4"/>
    <mergeCell ref="H4:O4"/>
    <mergeCell ref="A5:C5"/>
    <mergeCell ref="D5:F5"/>
    <mergeCell ref="M5:O5"/>
    <mergeCell ref="A6:C6"/>
    <mergeCell ref="D6:E6"/>
    <mergeCell ref="K6:L6"/>
  </mergeCells>
  <phoneticPr fontId="1"/>
  <conditionalFormatting sqref="L19">
    <cfRule type="cellIs" dxfId="3" priority="8" operator="equal">
      <formula>"下記へ数値入力してください。"</formula>
    </cfRule>
  </conditionalFormatting>
  <conditionalFormatting sqref="L22">
    <cfRule type="cellIs" dxfId="2" priority="7" operator="equal">
      <formula>"下記へ数値入力してください。"</formula>
    </cfRule>
  </conditionalFormatting>
  <conditionalFormatting sqref="L25">
    <cfRule type="cellIs" dxfId="1" priority="6" operator="equal">
      <formula>"下記へ数値入力してください。"</formula>
    </cfRule>
  </conditionalFormatting>
  <conditionalFormatting sqref="P18 L19:O19 P21 L22:O22 P24 L25:O25">
    <cfRule type="cellIs" dxfId="0" priority="3" operator="equal">
      <formula>"下記の数値を削除してください"</formula>
    </cfRule>
  </conditionalFormatting>
  <dataValidations count="12">
    <dataValidation type="list" allowBlank="1" showInputMessage="1" showErrorMessage="1" sqref="F22">
      <formula1>$S$8:$S$9</formula1>
    </dataValidation>
    <dataValidation type="list" allowBlank="1" showInputMessage="1" showErrorMessage="1" sqref="F25:G28">
      <formula1>$S$19:$S$20</formula1>
    </dataValidation>
    <dataValidation type="list" allowBlank="1" showInputMessage="1" showErrorMessage="1" sqref="F19">
      <formula1>$S$2:$S$4</formula1>
    </dataValidation>
    <dataValidation type="list" allowBlank="1" showInputMessage="1" showErrorMessage="1" sqref="F14:G14">
      <formula1>$Y$3:$Y$4</formula1>
    </dataValidation>
    <dataValidation type="list" allowBlank="1" showInputMessage="1" showErrorMessage="1" sqref="F19">
      <formula1>#REF!</formula1>
    </dataValidation>
    <dataValidation type="list" allowBlank="1" showInputMessage="1" showErrorMessage="1" sqref="F17:G17">
      <formula1>$S$5:$S$7</formula1>
    </dataValidation>
    <dataValidation type="list" allowBlank="1" showInputMessage="1" showErrorMessage="1" sqref="F18:G18">
      <formula1>$S$14:$S$18</formula1>
    </dataValidation>
    <dataValidation type="list" allowBlank="1" showInputMessage="1" showErrorMessage="1" sqref="G54:H54 G55:G56 G58:G60">
      <formula1>INDIRECT(D54)</formula1>
    </dataValidation>
    <dataValidation type="list" allowBlank="1" showInputMessage="1" showErrorMessage="1" sqref="F71:F72 F74:F75 F77:F78 F80:F81">
      <formula1>INDIRECT(D71)</formula1>
    </dataValidation>
    <dataValidation type="list" allowBlank="1" showInputMessage="1" showErrorMessage="1" sqref="G71:H72 G74:H75 G77:H78 G80:H81">
      <formula1>INDIRECT(X71)</formula1>
    </dataValidation>
    <dataValidation type="list" allowBlank="1" showInputMessage="1" showErrorMessage="1" sqref="I58:K60 I54:K56">
      <formula1>INDIRECT(X52)</formula1>
    </dataValidation>
    <dataValidation type="list" allowBlank="1" showInputMessage="1" showErrorMessage="1" sqref="D5:D6 E6">
      <formula1>$AA$2:$AA$4</formula1>
    </dataValidation>
  </dataValidations>
  <hyperlinks>
    <hyperlink ref="M47:N47" location="表計算ツールの解説・注意事項!A226" display="こちら。"/>
    <hyperlink ref="G40" location="表計算ツールの解説・注意事項!A119" display="こちら。"/>
    <hyperlink ref="G50" location="表計算ツールの解説・注意事項!A184" display="こちら。"/>
    <hyperlink ref="F29" location="表計算ツールの解説・注意事項!A69" display="こちら。"/>
    <hyperlink ref="G64" location="表計算ツールの解説・注意事項!A195" display="こちら。"/>
  </hyperlinks>
  <pageMargins left="0.70866141732283472" right="0.70866141732283472" top="0.74803149606299213" bottom="0.74803149606299213" header="0.31496062992125984" footer="0.31496062992125984"/>
  <pageSetup paperSize="9" scale="79" fitToHeight="0" orientation="portrait" r:id="rId1"/>
  <headerFooter>
    <oddHeader>&amp;R公益財団法人　日本住宅・木材技術センターWEBサイトからダウンロード</oddHeader>
  </headerFooter>
  <rowBreaks count="1" manualBreakCount="1">
    <brk id="48" max="14" man="1"/>
  </rowBreaks>
  <ignoredErrors>
    <ignoredError sqref="M60 M54 M55 M56 D45 F44 O54 N55:O61 N54 M59 M58 K77 J78:K78 J74:K75 J72:K72 K71 J80:K81 M71 J73:O73 I71:J71 N71:O71 I82:O82 I80:I81 L80:O81 L71 I72 L72:O72 I76:O76 I74:I75 L74:O75 I79:O79 I78 L78:O78 I77:J77 L77:O77 F4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autoFill="0" autoLine="0" autoPict="0">
                <anchor moveWithCells="1">
                  <from>
                    <xdr:col>0</xdr:col>
                    <xdr:colOff>0</xdr:colOff>
                    <xdr:row>48</xdr:row>
                    <xdr:rowOff>0</xdr:rowOff>
                  </from>
                  <to>
                    <xdr:col>1</xdr:col>
                    <xdr:colOff>9525</xdr:colOff>
                    <xdr:row>49</xdr:row>
                    <xdr:rowOff>19050</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0</xdr:col>
                    <xdr:colOff>28575</xdr:colOff>
                    <xdr:row>62</xdr:row>
                    <xdr:rowOff>28575</xdr:rowOff>
                  </from>
                  <to>
                    <xdr:col>0</xdr:col>
                    <xdr:colOff>266700</xdr:colOff>
                    <xdr:row>63</xdr:row>
                    <xdr:rowOff>19050</xdr:rowOff>
                  </to>
                </anchor>
              </controlPr>
            </control>
          </mc:Choice>
        </mc:AlternateContent>
        <mc:AlternateContent xmlns:mc="http://schemas.openxmlformats.org/markup-compatibility/2006">
          <mc:Choice Requires="x14">
            <control shapeId="2065" r:id="rId6" name="Check Box 17">
              <controlPr defaultSize="0" autoFill="0" autoLine="0" autoPict="0">
                <anchor moveWithCells="1">
                  <from>
                    <xdr:col>0</xdr:col>
                    <xdr:colOff>0</xdr:colOff>
                    <xdr:row>37</xdr:row>
                    <xdr:rowOff>219075</xdr:rowOff>
                  </from>
                  <to>
                    <xdr:col>1</xdr:col>
                    <xdr:colOff>9525</xdr:colOff>
                    <xdr:row>38</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柱の圧縮基準強度!$I$1:$M$1</xm:f>
          </x14:formula1>
          <xm:sqref>D58:F60 D54:F56 D71:D72 D74:D75 D77:D78 D80:D81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10" sqref="B10"/>
    </sheetView>
  </sheetViews>
  <sheetFormatPr defaultRowHeight="18.75"/>
  <cols>
    <col min="1" max="1" width="15.625" customWidth="1"/>
    <col min="2" max="2" width="79" customWidth="1"/>
  </cols>
  <sheetData>
    <row r="1" spans="1:2">
      <c r="A1" s="1" t="s">
        <v>429</v>
      </c>
      <c r="B1" s="1" t="s">
        <v>304</v>
      </c>
    </row>
    <row r="2" spans="1:2">
      <c r="A2" s="287">
        <v>45250</v>
      </c>
      <c r="B2" s="37" t="s">
        <v>430</v>
      </c>
    </row>
    <row r="3" spans="1:2" ht="76.5">
      <c r="A3" s="287">
        <v>45274</v>
      </c>
      <c r="B3" s="41" t="s">
        <v>474</v>
      </c>
    </row>
    <row r="4" spans="1:2" ht="37.5">
      <c r="A4" s="287">
        <v>45428</v>
      </c>
      <c r="B4" s="41" t="s">
        <v>497</v>
      </c>
    </row>
    <row r="5" spans="1:2" ht="218.25" customHeight="1">
      <c r="A5" s="287">
        <v>45428</v>
      </c>
      <c r="B5" s="41" t="s">
        <v>578</v>
      </c>
    </row>
    <row r="6" spans="1:2" ht="20.25">
      <c r="A6" s="287">
        <v>45428</v>
      </c>
      <c r="B6" s="41" t="s">
        <v>498</v>
      </c>
    </row>
    <row r="7" spans="1:2" ht="37.5">
      <c r="A7" s="287">
        <v>45428</v>
      </c>
      <c r="B7" s="41" t="s">
        <v>499</v>
      </c>
    </row>
    <row r="8" spans="1:2">
      <c r="A8" s="287">
        <v>45428</v>
      </c>
      <c r="B8" s="41" t="s">
        <v>586</v>
      </c>
    </row>
    <row r="9" spans="1:2">
      <c r="A9" s="287">
        <v>45446</v>
      </c>
      <c r="B9" s="41" t="s">
        <v>608</v>
      </c>
    </row>
  </sheetData>
  <sheetProtection algorithmName="SHA-512" hashValue="WQFy1SOfIo3AVOG/Gy3jaErw54xnlqAYlVe9xCNvwzNmt2yMXVHr8Ewrt/EBWf3AH9FEVTHhfQMqjbJ7J6AhpQ==" saltValue="anFlnY/niuew5LX1QI65vQ==" spinCount="100000" sheet="1" objects="1" scenario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7"/>
  <sheetViews>
    <sheetView topLeftCell="B154" zoomScale="71" zoomScaleNormal="100" workbookViewId="0">
      <selection activeCell="Q146" sqref="Q146"/>
    </sheetView>
  </sheetViews>
  <sheetFormatPr defaultRowHeight="18.75"/>
  <cols>
    <col min="1" max="1" width="39.625" hidden="1" customWidth="1"/>
    <col min="2" max="2" width="27.125" customWidth="1"/>
    <col min="3" max="3" width="23.625" style="2" customWidth="1"/>
    <col min="4" max="4" width="18.125" style="2" customWidth="1"/>
    <col min="5" max="5" width="12.875" customWidth="1"/>
    <col min="6" max="6" width="29.625" style="16" customWidth="1"/>
    <col min="7" max="7" width="8.75" customWidth="1"/>
    <col min="8" max="8" width="11.375" style="2" hidden="1" customWidth="1"/>
    <col min="9" max="9" width="20.625" hidden="1" customWidth="1"/>
    <col min="10" max="10" width="20.625" style="16" hidden="1" customWidth="1"/>
    <col min="11" max="11" width="20.625" hidden="1" customWidth="1"/>
    <col min="12" max="13" width="20.625" style="2" hidden="1" customWidth="1"/>
    <col min="14" max="14" width="14" style="16" hidden="1" customWidth="1"/>
  </cols>
  <sheetData>
    <row r="1" spans="1:14" ht="37.5">
      <c r="I1" s="38" t="s">
        <v>251</v>
      </c>
      <c r="J1" s="38" t="s">
        <v>242</v>
      </c>
      <c r="K1" s="38" t="s">
        <v>243</v>
      </c>
      <c r="L1" s="38" t="s">
        <v>250</v>
      </c>
      <c r="M1" s="38" t="s">
        <v>267</v>
      </c>
      <c r="N1" s="16" t="s">
        <v>309</v>
      </c>
    </row>
    <row r="2" spans="1:14" ht="24.75" customHeight="1">
      <c r="E2" s="2"/>
      <c r="F2" s="2"/>
      <c r="I2" s="1" t="s">
        <v>60</v>
      </c>
      <c r="J2" s="6" t="s">
        <v>90</v>
      </c>
      <c r="K2" s="1" t="s">
        <v>60</v>
      </c>
      <c r="L2" s="38" t="s">
        <v>189</v>
      </c>
      <c r="M2" s="38" t="s">
        <v>189</v>
      </c>
    </row>
    <row r="3" spans="1:14" ht="20.100000000000001" customHeight="1">
      <c r="A3" s="3" t="s">
        <v>306</v>
      </c>
      <c r="B3" s="3" t="s">
        <v>244</v>
      </c>
      <c r="C3" s="40" t="s">
        <v>55</v>
      </c>
      <c r="D3" s="3" t="s">
        <v>56</v>
      </c>
      <c r="E3" s="40"/>
      <c r="F3" s="50" t="s">
        <v>307</v>
      </c>
      <c r="G3" s="12"/>
      <c r="I3" s="1" t="s">
        <v>61</v>
      </c>
      <c r="J3" s="37" t="s">
        <v>86</v>
      </c>
      <c r="K3" s="38" t="s">
        <v>254</v>
      </c>
      <c r="L3" s="38"/>
      <c r="M3" s="6"/>
      <c r="N3"/>
    </row>
    <row r="4" spans="1:14" ht="18.75" customHeight="1">
      <c r="A4" s="1" t="str">
        <f t="shared" ref="A4:A35" si="0">B4&amp;C4&amp;D4</f>
        <v>JAS機械等級区分構造用製材あかまつE70</v>
      </c>
      <c r="B4" s="1" t="s">
        <v>305</v>
      </c>
      <c r="C4" s="41" t="s">
        <v>60</v>
      </c>
      <c r="D4" s="1" t="s">
        <v>81</v>
      </c>
      <c r="E4" s="18"/>
      <c r="F4" s="6">
        <v>9.6</v>
      </c>
      <c r="G4" s="7"/>
      <c r="I4" s="1" t="s">
        <v>63</v>
      </c>
      <c r="J4" s="6" t="s">
        <v>87</v>
      </c>
      <c r="K4" s="1" t="s">
        <v>61</v>
      </c>
      <c r="L4" s="38"/>
      <c r="M4" s="38"/>
    </row>
    <row r="5" spans="1:14" ht="18.75" customHeight="1">
      <c r="A5" s="1" t="str">
        <f t="shared" si="0"/>
        <v>JAS機械等級区分構造用製材あかまつE90</v>
      </c>
      <c r="B5" s="1" t="s">
        <v>305</v>
      </c>
      <c r="C5" s="41" t="s">
        <v>60</v>
      </c>
      <c r="D5" s="1" t="s">
        <v>70</v>
      </c>
      <c r="E5" s="18"/>
      <c r="F5" s="6">
        <v>16.8</v>
      </c>
      <c r="G5" s="7"/>
      <c r="I5" s="1" t="s">
        <v>66</v>
      </c>
      <c r="J5" s="6" t="s">
        <v>88</v>
      </c>
      <c r="K5" s="1" t="s">
        <v>62</v>
      </c>
      <c r="L5" s="38"/>
      <c r="M5" s="38"/>
    </row>
    <row r="6" spans="1:14" ht="18.75" customHeight="1">
      <c r="A6" s="1" t="str">
        <f t="shared" si="0"/>
        <v>JAS機械等級区分構造用製材あかまつE110</v>
      </c>
      <c r="B6" s="1" t="s">
        <v>305</v>
      </c>
      <c r="C6" s="41" t="s">
        <v>60</v>
      </c>
      <c r="D6" s="1" t="s">
        <v>72</v>
      </c>
      <c r="E6" s="18"/>
      <c r="F6" s="6">
        <v>24.6</v>
      </c>
      <c r="G6" s="7"/>
      <c r="I6" s="1" t="s">
        <v>252</v>
      </c>
      <c r="J6" s="6" t="s">
        <v>247</v>
      </c>
      <c r="K6" s="1" t="s">
        <v>64</v>
      </c>
      <c r="L6" s="38"/>
      <c r="M6" s="38"/>
    </row>
    <row r="7" spans="1:14" ht="18.75" customHeight="1">
      <c r="A7" s="1" t="str">
        <f t="shared" si="0"/>
        <v>JAS機械等級区分構造用製材あかまつE130</v>
      </c>
      <c r="B7" s="1" t="s">
        <v>305</v>
      </c>
      <c r="C7" s="41" t="s">
        <v>60</v>
      </c>
      <c r="D7" s="1" t="s">
        <v>73</v>
      </c>
      <c r="E7" s="18"/>
      <c r="F7" s="6">
        <v>31.8</v>
      </c>
      <c r="G7" s="7"/>
      <c r="I7" s="1" t="s">
        <v>253</v>
      </c>
      <c r="J7" s="6" t="s">
        <v>248</v>
      </c>
      <c r="K7" s="1" t="s">
        <v>65</v>
      </c>
      <c r="L7" s="38"/>
      <c r="M7" s="38"/>
    </row>
    <row r="8" spans="1:14" ht="18.75" customHeight="1">
      <c r="A8" s="1" t="str">
        <f t="shared" si="0"/>
        <v xml:space="preserve">JAS機械等級区分構造用製材あかまつE150 </v>
      </c>
      <c r="B8" s="1" t="s">
        <v>305</v>
      </c>
      <c r="C8" s="41" t="s">
        <v>60</v>
      </c>
      <c r="D8" s="1" t="s">
        <v>71</v>
      </c>
      <c r="E8" s="18"/>
      <c r="F8" s="6">
        <v>39</v>
      </c>
      <c r="G8" s="7"/>
      <c r="I8" s="1" t="s">
        <v>62</v>
      </c>
      <c r="J8" s="6" t="s">
        <v>89</v>
      </c>
      <c r="K8" s="1" t="s">
        <v>255</v>
      </c>
      <c r="L8" s="38"/>
      <c r="M8" s="38"/>
    </row>
    <row r="9" spans="1:14" ht="18.75" customHeight="1">
      <c r="A9" s="1" t="str">
        <f t="shared" si="0"/>
        <v>JAS機械等級区分構造用製材べいまつE70</v>
      </c>
      <c r="B9" s="1" t="s">
        <v>305</v>
      </c>
      <c r="C9" s="41" t="s">
        <v>61</v>
      </c>
      <c r="D9" s="1" t="s">
        <v>81</v>
      </c>
      <c r="E9" s="49"/>
      <c r="F9" s="6">
        <v>9.6</v>
      </c>
      <c r="G9" s="7"/>
      <c r="I9" s="1" t="s">
        <v>65</v>
      </c>
      <c r="J9" s="6" t="s">
        <v>252</v>
      </c>
      <c r="K9" s="1" t="s">
        <v>256</v>
      </c>
      <c r="L9" s="38"/>
      <c r="M9" s="38"/>
    </row>
    <row r="10" spans="1:14" ht="18.75" customHeight="1">
      <c r="A10" s="1" t="str">
        <f t="shared" si="0"/>
        <v>JAS機械等級区分構造用製材べいまつE90</v>
      </c>
      <c r="B10" s="1" t="s">
        <v>305</v>
      </c>
      <c r="C10" s="41" t="s">
        <v>61</v>
      </c>
      <c r="D10" s="1" t="s">
        <v>70</v>
      </c>
      <c r="E10" s="49"/>
      <c r="F10" s="6">
        <v>16.8</v>
      </c>
      <c r="G10" s="7"/>
      <c r="I10" s="1" t="s">
        <v>64</v>
      </c>
      <c r="J10" s="44" t="s">
        <v>253</v>
      </c>
      <c r="K10" s="1" t="s">
        <v>257</v>
      </c>
      <c r="L10" s="38"/>
      <c r="M10" s="38"/>
    </row>
    <row r="11" spans="1:14" ht="18.75" customHeight="1">
      <c r="A11" s="1" t="str">
        <f t="shared" si="0"/>
        <v>JAS機械等級区分構造用製材べいまつE110</v>
      </c>
      <c r="B11" s="1" t="s">
        <v>305</v>
      </c>
      <c r="C11" s="41" t="s">
        <v>61</v>
      </c>
      <c r="D11" s="1" t="s">
        <v>72</v>
      </c>
      <c r="E11" s="49"/>
      <c r="F11" s="6">
        <v>24.6</v>
      </c>
      <c r="G11" s="7"/>
      <c r="I11" s="1" t="s">
        <v>68</v>
      </c>
      <c r="J11" s="44" t="s">
        <v>80</v>
      </c>
      <c r="K11" s="1" t="s">
        <v>66</v>
      </c>
    </row>
    <row r="12" spans="1:14" ht="18.75" customHeight="1">
      <c r="A12" s="1" t="str">
        <f t="shared" si="0"/>
        <v>JAS機械等級区分構造用製材べいまつE130</v>
      </c>
      <c r="B12" s="1" t="s">
        <v>305</v>
      </c>
      <c r="C12" s="41" t="s">
        <v>61</v>
      </c>
      <c r="D12" s="1" t="s">
        <v>73</v>
      </c>
      <c r="E12" s="49"/>
      <c r="F12" s="6">
        <v>31.8</v>
      </c>
      <c r="G12" s="7"/>
      <c r="K12" s="1" t="s">
        <v>258</v>
      </c>
    </row>
    <row r="13" spans="1:14" ht="18.75" customHeight="1">
      <c r="A13" s="1" t="str">
        <f t="shared" si="0"/>
        <v xml:space="preserve">JAS機械等級区分構造用製材べいまつE150 </v>
      </c>
      <c r="B13" s="1" t="s">
        <v>305</v>
      </c>
      <c r="C13" s="41" t="s">
        <v>61</v>
      </c>
      <c r="D13" s="1" t="s">
        <v>71</v>
      </c>
      <c r="E13" s="49"/>
      <c r="F13" s="6">
        <v>39</v>
      </c>
      <c r="G13" s="7"/>
      <c r="K13" s="41" t="s">
        <v>252</v>
      </c>
    </row>
    <row r="14" spans="1:14" ht="18.75" customHeight="1">
      <c r="A14" s="1" t="str">
        <f t="shared" si="0"/>
        <v>JAS機械等級区分構造用製材ダフリカからまつE70</v>
      </c>
      <c r="B14" s="1" t="s">
        <v>305</v>
      </c>
      <c r="C14" s="41" t="s">
        <v>88</v>
      </c>
      <c r="D14" s="1" t="s">
        <v>81</v>
      </c>
      <c r="E14" s="49"/>
      <c r="F14" s="6">
        <v>9.6</v>
      </c>
      <c r="G14" s="7"/>
      <c r="J14" s="13"/>
      <c r="K14" s="41" t="s">
        <v>253</v>
      </c>
    </row>
    <row r="15" spans="1:14" ht="18.75" customHeight="1">
      <c r="A15" s="1" t="str">
        <f t="shared" si="0"/>
        <v>JAS機械等級区分構造用製材ダフリカからまつE90</v>
      </c>
      <c r="B15" s="1" t="s">
        <v>305</v>
      </c>
      <c r="C15" s="41" t="s">
        <v>88</v>
      </c>
      <c r="D15" s="1" t="s">
        <v>70</v>
      </c>
      <c r="E15" s="49"/>
      <c r="F15" s="6">
        <v>16.8</v>
      </c>
      <c r="G15" s="7"/>
      <c r="J15" s="13"/>
      <c r="K15" s="41" t="s">
        <v>259</v>
      </c>
    </row>
    <row r="16" spans="1:14" ht="18.75" customHeight="1">
      <c r="A16" s="1" t="str">
        <f t="shared" si="0"/>
        <v>JAS機械等級区分構造用製材ダフリカからまつE110</v>
      </c>
      <c r="B16" s="1" t="s">
        <v>305</v>
      </c>
      <c r="C16" s="41" t="s">
        <v>88</v>
      </c>
      <c r="D16" s="1" t="s">
        <v>72</v>
      </c>
      <c r="E16" s="49"/>
      <c r="F16" s="6">
        <v>24.6</v>
      </c>
      <c r="G16" s="7"/>
      <c r="J16" s="13"/>
      <c r="K16" s="41" t="s">
        <v>68</v>
      </c>
    </row>
    <row r="17" spans="1:13" ht="18.75" customHeight="1">
      <c r="A17" s="1" t="str">
        <f t="shared" si="0"/>
        <v>JAS機械等級区分構造用製材ダフリカからまつE130</v>
      </c>
      <c r="B17" s="1" t="s">
        <v>305</v>
      </c>
      <c r="C17" s="41" t="s">
        <v>88</v>
      </c>
      <c r="D17" s="1" t="s">
        <v>73</v>
      </c>
      <c r="E17" s="49"/>
      <c r="F17" s="6">
        <v>31.8</v>
      </c>
      <c r="G17" s="7"/>
      <c r="J17" s="13"/>
      <c r="K17" s="41" t="s">
        <v>260</v>
      </c>
    </row>
    <row r="18" spans="1:13" ht="18.75" customHeight="1">
      <c r="A18" s="1" t="str">
        <f t="shared" si="0"/>
        <v xml:space="preserve">JAS機械等級区分構造用製材ダフリカからまつE150 </v>
      </c>
      <c r="B18" s="1" t="s">
        <v>305</v>
      </c>
      <c r="C18" s="41" t="s">
        <v>88</v>
      </c>
      <c r="D18" s="1" t="s">
        <v>71</v>
      </c>
      <c r="E18" s="49"/>
      <c r="F18" s="6">
        <v>39</v>
      </c>
      <c r="G18" s="7"/>
      <c r="J18" s="13"/>
      <c r="K18" s="41" t="s">
        <v>261</v>
      </c>
    </row>
    <row r="19" spans="1:13" ht="18.75" customHeight="1">
      <c r="A19" s="1" t="str">
        <f t="shared" si="0"/>
        <v>JAS機械等級区分構造用製材べいつがE70</v>
      </c>
      <c r="B19" s="1" t="s">
        <v>305</v>
      </c>
      <c r="C19" s="41" t="s">
        <v>89</v>
      </c>
      <c r="D19" s="1" t="s">
        <v>81</v>
      </c>
      <c r="E19" s="49"/>
      <c r="F19" s="6">
        <v>9.6</v>
      </c>
      <c r="G19" s="7"/>
      <c r="J19" s="13"/>
      <c r="K19" s="41" t="s">
        <v>258</v>
      </c>
    </row>
    <row r="20" spans="1:13">
      <c r="A20" s="1" t="str">
        <f t="shared" si="0"/>
        <v>JAS機械等級区分構造用製材べいつがE90</v>
      </c>
      <c r="B20" s="1" t="s">
        <v>305</v>
      </c>
      <c r="C20" s="41" t="s">
        <v>89</v>
      </c>
      <c r="D20" s="1" t="s">
        <v>70</v>
      </c>
      <c r="E20" s="49"/>
      <c r="F20" s="6">
        <v>16.8</v>
      </c>
      <c r="G20" s="7"/>
      <c r="K20" s="41" t="s">
        <v>252</v>
      </c>
    </row>
    <row r="21" spans="1:13">
      <c r="A21" s="1" t="str">
        <f t="shared" si="0"/>
        <v>JAS機械等級区分構造用製材べいつがE110</v>
      </c>
      <c r="B21" s="1" t="s">
        <v>305</v>
      </c>
      <c r="C21" s="41" t="s">
        <v>89</v>
      </c>
      <c r="D21" s="1" t="s">
        <v>72</v>
      </c>
      <c r="E21" s="49"/>
      <c r="F21" s="6">
        <v>24.6</v>
      </c>
      <c r="G21" s="7"/>
      <c r="K21" s="41" t="s">
        <v>253</v>
      </c>
    </row>
    <row r="22" spans="1:13">
      <c r="A22" s="1" t="str">
        <f t="shared" si="0"/>
        <v>JAS機械等級区分構造用製材べいつがE130</v>
      </c>
      <c r="B22" s="1" t="s">
        <v>305</v>
      </c>
      <c r="C22" s="41" t="s">
        <v>89</v>
      </c>
      <c r="D22" s="1" t="s">
        <v>73</v>
      </c>
      <c r="E22" s="49"/>
      <c r="F22" s="6">
        <v>31.8</v>
      </c>
      <c r="G22" s="7"/>
      <c r="K22" s="41" t="s">
        <v>79</v>
      </c>
    </row>
    <row r="23" spans="1:13">
      <c r="A23" s="1" t="str">
        <f t="shared" si="0"/>
        <v xml:space="preserve">JAS機械等級区分構造用製材べいつがE150 </v>
      </c>
      <c r="B23" s="1" t="s">
        <v>305</v>
      </c>
      <c r="C23" s="41" t="s">
        <v>89</v>
      </c>
      <c r="D23" s="1" t="s">
        <v>71</v>
      </c>
      <c r="E23" s="49"/>
      <c r="F23" s="6">
        <v>39</v>
      </c>
      <c r="G23" s="7"/>
      <c r="K23" s="41" t="s">
        <v>262</v>
      </c>
    </row>
    <row r="24" spans="1:13">
      <c r="A24" s="1" t="str">
        <f t="shared" si="0"/>
        <v>JAS機械等級区分構造用製材えぞまつE70</v>
      </c>
      <c r="B24" s="1" t="s">
        <v>305</v>
      </c>
      <c r="C24" s="41" t="s">
        <v>252</v>
      </c>
      <c r="D24" s="1" t="s">
        <v>81</v>
      </c>
      <c r="E24" s="49"/>
      <c r="F24" s="6">
        <v>9.6</v>
      </c>
      <c r="G24" s="7"/>
      <c r="K24" s="41" t="s">
        <v>263</v>
      </c>
    </row>
    <row r="25" spans="1:13">
      <c r="A25" s="1" t="str">
        <f t="shared" si="0"/>
        <v>JAS機械等級区分構造用製材えぞまつE90</v>
      </c>
      <c r="B25" s="1" t="s">
        <v>305</v>
      </c>
      <c r="C25" s="41" t="s">
        <v>252</v>
      </c>
      <c r="D25" s="1" t="s">
        <v>70</v>
      </c>
      <c r="E25" s="49"/>
      <c r="F25" s="6">
        <v>16.8</v>
      </c>
      <c r="G25" s="7"/>
      <c r="K25" s="41" t="s">
        <v>264</v>
      </c>
    </row>
    <row r="26" spans="1:13">
      <c r="A26" s="1" t="str">
        <f t="shared" si="0"/>
        <v>JAS機械等級区分構造用製材えぞまつE110</v>
      </c>
      <c r="B26" s="1" t="s">
        <v>305</v>
      </c>
      <c r="C26" s="41" t="s">
        <v>252</v>
      </c>
      <c r="D26" s="1" t="s">
        <v>72</v>
      </c>
      <c r="E26" s="49"/>
      <c r="F26" s="6">
        <v>24.6</v>
      </c>
      <c r="G26" s="7"/>
      <c r="K26" s="41" t="s">
        <v>265</v>
      </c>
    </row>
    <row r="27" spans="1:13">
      <c r="A27" s="1" t="str">
        <f t="shared" si="0"/>
        <v>JAS機械等級区分構造用製材えぞまつE130</v>
      </c>
      <c r="B27" s="1" t="s">
        <v>305</v>
      </c>
      <c r="C27" s="41" t="s">
        <v>252</v>
      </c>
      <c r="D27" s="1" t="s">
        <v>73</v>
      </c>
      <c r="E27" s="49"/>
      <c r="F27" s="6">
        <v>31.8</v>
      </c>
      <c r="G27" s="7"/>
    </row>
    <row r="28" spans="1:13">
      <c r="A28" s="1" t="str">
        <f t="shared" si="0"/>
        <v xml:space="preserve">JAS機械等級区分構造用製材えぞまつE150 </v>
      </c>
      <c r="B28" s="1" t="s">
        <v>305</v>
      </c>
      <c r="C28" s="41" t="s">
        <v>252</v>
      </c>
      <c r="D28" s="1" t="s">
        <v>71</v>
      </c>
      <c r="E28" s="49"/>
      <c r="F28" s="6">
        <v>39</v>
      </c>
      <c r="G28" s="7"/>
      <c r="I28" s="1" t="s">
        <v>268</v>
      </c>
      <c r="J28" s="45" t="s">
        <v>269</v>
      </c>
      <c r="K28" s="47" t="s">
        <v>270</v>
      </c>
      <c r="L28" s="38" t="s">
        <v>271</v>
      </c>
      <c r="M28" s="38" t="s">
        <v>272</v>
      </c>
    </row>
    <row r="29" spans="1:13">
      <c r="A29" s="1" t="str">
        <f t="shared" si="0"/>
        <v>JAS機械等級区分構造用製材とどまつE70</v>
      </c>
      <c r="B29" s="1" t="s">
        <v>305</v>
      </c>
      <c r="C29" s="41" t="s">
        <v>253</v>
      </c>
      <c r="D29" s="1" t="s">
        <v>81</v>
      </c>
      <c r="E29" s="49"/>
      <c r="F29" s="6">
        <v>9.6</v>
      </c>
      <c r="G29" s="7"/>
      <c r="I29" s="1" t="s">
        <v>74</v>
      </c>
      <c r="J29" s="1" t="s">
        <v>57</v>
      </c>
      <c r="K29" s="47" t="s">
        <v>189</v>
      </c>
      <c r="L29" s="46" t="str">
        <f>E118&amp;C118</f>
        <v>E190-F615(4層以上)</v>
      </c>
      <c r="M29" s="46" t="str">
        <f t="shared" ref="M29:M57" si="1">D155&amp;"　"&amp;E155</f>
        <v>180E　特級</v>
      </c>
    </row>
    <row r="30" spans="1:13">
      <c r="A30" s="1" t="str">
        <f t="shared" si="0"/>
        <v>JAS機械等級区分構造用製材とどまつE90</v>
      </c>
      <c r="B30" s="1" t="s">
        <v>305</v>
      </c>
      <c r="C30" s="41" t="s">
        <v>253</v>
      </c>
      <c r="D30" s="1" t="s">
        <v>70</v>
      </c>
      <c r="E30" s="49"/>
      <c r="F30" s="6">
        <v>16.8</v>
      </c>
      <c r="G30" s="7"/>
      <c r="I30" s="1" t="s">
        <v>75</v>
      </c>
      <c r="J30" s="1" t="s">
        <v>58</v>
      </c>
      <c r="L30" s="46" t="str">
        <f t="shared" ref="L30:L54" si="2">E119&amp;C119</f>
        <v>E170-F540(4層以上)</v>
      </c>
      <c r="M30" s="46" t="str">
        <f t="shared" si="1"/>
        <v>180E　一級</v>
      </c>
    </row>
    <row r="31" spans="1:13">
      <c r="A31" s="1" t="str">
        <f t="shared" si="0"/>
        <v>JAS機械等級区分構造用製材とどまつE110</v>
      </c>
      <c r="B31" s="1" t="s">
        <v>305</v>
      </c>
      <c r="C31" s="41" t="s">
        <v>253</v>
      </c>
      <c r="D31" s="1" t="s">
        <v>72</v>
      </c>
      <c r="E31" s="49"/>
      <c r="F31" s="6">
        <v>24.6</v>
      </c>
      <c r="G31" s="7"/>
      <c r="I31" s="1" t="s">
        <v>70</v>
      </c>
      <c r="J31" s="1" t="s">
        <v>59</v>
      </c>
      <c r="L31" s="46" t="str">
        <f t="shared" si="2"/>
        <v>E150-F465(4層以上)</v>
      </c>
      <c r="M31" s="46" t="str">
        <f t="shared" si="1"/>
        <v>180E　二級</v>
      </c>
    </row>
    <row r="32" spans="1:13">
      <c r="A32" s="1" t="str">
        <f t="shared" si="0"/>
        <v>JAS機械等級区分構造用製材とどまつE130</v>
      </c>
      <c r="B32" s="1" t="s">
        <v>305</v>
      </c>
      <c r="C32" s="41" t="s">
        <v>253</v>
      </c>
      <c r="D32" s="1" t="s">
        <v>73</v>
      </c>
      <c r="E32" s="49"/>
      <c r="F32" s="6">
        <v>31.8</v>
      </c>
      <c r="G32" s="7"/>
      <c r="I32" s="1" t="s">
        <v>72</v>
      </c>
      <c r="L32" s="46" t="str">
        <f t="shared" si="2"/>
        <v>E135-F405(4層以上)</v>
      </c>
      <c r="M32" s="46" t="str">
        <f t="shared" si="1"/>
        <v>160E　特級</v>
      </c>
    </row>
    <row r="33" spans="1:13">
      <c r="A33" s="1" t="str">
        <f t="shared" si="0"/>
        <v xml:space="preserve">JAS機械等級区分構造用製材とどまつE150 </v>
      </c>
      <c r="B33" s="1" t="s">
        <v>305</v>
      </c>
      <c r="C33" s="41" t="s">
        <v>253</v>
      </c>
      <c r="D33" s="1" t="s">
        <v>71</v>
      </c>
      <c r="E33" s="49"/>
      <c r="F33" s="6">
        <v>39</v>
      </c>
      <c r="G33" s="7"/>
      <c r="I33" s="1" t="s">
        <v>73</v>
      </c>
      <c r="L33" s="46" t="str">
        <f t="shared" si="2"/>
        <v>E120-F375(4層以上)</v>
      </c>
      <c r="M33" s="46" t="str">
        <f t="shared" si="1"/>
        <v>160E　一級</v>
      </c>
    </row>
    <row r="34" spans="1:13">
      <c r="A34" s="1" t="str">
        <f t="shared" si="0"/>
        <v>JAS機械等級区分構造用製材からまつE50</v>
      </c>
      <c r="B34" s="1" t="s">
        <v>305</v>
      </c>
      <c r="C34" s="41" t="s">
        <v>62</v>
      </c>
      <c r="D34" s="1" t="s">
        <v>74</v>
      </c>
      <c r="E34" s="51"/>
      <c r="F34" s="6">
        <v>11.4</v>
      </c>
      <c r="I34" s="1" t="s">
        <v>71</v>
      </c>
      <c r="L34" s="46" t="str">
        <f t="shared" si="2"/>
        <v>E105-F345(4層以上)</v>
      </c>
      <c r="M34" s="46" t="str">
        <f t="shared" si="1"/>
        <v>160E　二級</v>
      </c>
    </row>
    <row r="35" spans="1:13">
      <c r="A35" s="1" t="str">
        <f t="shared" si="0"/>
        <v>JAS機械等級区分構造用製材からまつE70</v>
      </c>
      <c r="B35" s="1" t="s">
        <v>305</v>
      </c>
      <c r="C35" s="41" t="s">
        <v>62</v>
      </c>
      <c r="D35" s="1" t="s">
        <v>75</v>
      </c>
      <c r="E35" s="51"/>
      <c r="F35" s="6">
        <v>18</v>
      </c>
      <c r="L35" s="46" t="str">
        <f t="shared" si="2"/>
        <v>E95-F315(4層以上)</v>
      </c>
      <c r="M35" s="46" t="str">
        <f t="shared" si="1"/>
        <v>140E　特級</v>
      </c>
    </row>
    <row r="36" spans="1:13">
      <c r="A36" s="1" t="str">
        <f t="shared" ref="A36:A57" si="3">B36&amp;C36&amp;D36</f>
        <v>JAS機械等級区分構造用製材からまつE90</v>
      </c>
      <c r="B36" s="1" t="s">
        <v>305</v>
      </c>
      <c r="C36" s="41" t="s">
        <v>62</v>
      </c>
      <c r="D36" s="1" t="s">
        <v>70</v>
      </c>
      <c r="E36" s="51"/>
      <c r="F36" s="6">
        <v>24.6</v>
      </c>
      <c r="L36" s="46" t="str">
        <f t="shared" si="2"/>
        <v>E85-F300(4層以上)</v>
      </c>
      <c r="M36" s="46" t="str">
        <f t="shared" si="1"/>
        <v>140E　一級</v>
      </c>
    </row>
    <row r="37" spans="1:13">
      <c r="A37" s="1" t="str">
        <f t="shared" si="3"/>
        <v>JAS機械等級区分構造用製材からまつE110</v>
      </c>
      <c r="B37" s="1" t="s">
        <v>305</v>
      </c>
      <c r="C37" s="41" t="s">
        <v>62</v>
      </c>
      <c r="D37" s="1" t="s">
        <v>72</v>
      </c>
      <c r="E37" s="51"/>
      <c r="F37" s="6">
        <v>31.2</v>
      </c>
      <c r="L37" s="46" t="str">
        <f t="shared" si="2"/>
        <v>E75-F270(4層以上)</v>
      </c>
      <c r="M37" s="46" t="str">
        <f t="shared" si="1"/>
        <v>140E　二級</v>
      </c>
    </row>
    <row r="38" spans="1:13">
      <c r="A38" s="1" t="str">
        <f t="shared" si="3"/>
        <v>JAS機械等級区分構造用製材からまつE130</v>
      </c>
      <c r="B38" s="1" t="s">
        <v>305</v>
      </c>
      <c r="C38" s="41" t="s">
        <v>62</v>
      </c>
      <c r="D38" s="1" t="s">
        <v>73</v>
      </c>
      <c r="E38" s="51"/>
      <c r="F38" s="6">
        <v>37.799999999999997</v>
      </c>
      <c r="L38" s="46" t="str">
        <f t="shared" si="2"/>
        <v>E65-F255(4層以上)</v>
      </c>
      <c r="M38" s="46" t="str">
        <f t="shared" si="1"/>
        <v>120E　特級</v>
      </c>
    </row>
    <row r="39" spans="1:13">
      <c r="A39" s="1" t="str">
        <f t="shared" si="3"/>
        <v xml:space="preserve">JAS機械等級区分構造用製材からまつE150 </v>
      </c>
      <c r="B39" s="1" t="s">
        <v>305</v>
      </c>
      <c r="C39" s="41" t="s">
        <v>62</v>
      </c>
      <c r="D39" s="1" t="s">
        <v>71</v>
      </c>
      <c r="E39" s="51"/>
      <c r="F39" s="6">
        <v>44.4</v>
      </c>
      <c r="L39" s="46" t="str">
        <f t="shared" si="2"/>
        <v>E55-F225(4層以上)</v>
      </c>
      <c r="M39" s="46" t="str">
        <f t="shared" si="1"/>
        <v>120E　一級</v>
      </c>
    </row>
    <row r="40" spans="1:13">
      <c r="A40" s="1" t="str">
        <f t="shared" si="3"/>
        <v>JAS機械等級区分構造用製材ひのきE50</v>
      </c>
      <c r="B40" s="1" t="s">
        <v>305</v>
      </c>
      <c r="C40" s="41" t="s">
        <v>65</v>
      </c>
      <c r="D40" s="1" t="s">
        <v>74</v>
      </c>
      <c r="E40" s="51"/>
      <c r="F40" s="6">
        <v>11.4</v>
      </c>
      <c r="L40" s="46" t="str">
        <f t="shared" si="2"/>
        <v>E190-F555(3層)</v>
      </c>
      <c r="M40" s="46" t="str">
        <f t="shared" si="1"/>
        <v>120E　二級</v>
      </c>
    </row>
    <row r="41" spans="1:13">
      <c r="A41" s="1" t="str">
        <f t="shared" si="3"/>
        <v>JAS機械等級区分構造用製材ひのきE70</v>
      </c>
      <c r="B41" s="1" t="s">
        <v>305</v>
      </c>
      <c r="C41" s="41" t="s">
        <v>65</v>
      </c>
      <c r="D41" s="1" t="s">
        <v>75</v>
      </c>
      <c r="E41" s="51"/>
      <c r="F41" s="6">
        <v>18</v>
      </c>
      <c r="L41" s="46" t="str">
        <f t="shared" si="2"/>
        <v>E170-F495(3層)</v>
      </c>
      <c r="M41" s="46" t="str">
        <f t="shared" si="1"/>
        <v>110E　特級</v>
      </c>
    </row>
    <row r="42" spans="1:13">
      <c r="A42" s="1" t="str">
        <f t="shared" si="3"/>
        <v>JAS機械等級区分構造用製材ひのきE90</v>
      </c>
      <c r="B42" s="1" t="s">
        <v>305</v>
      </c>
      <c r="C42" s="41" t="s">
        <v>65</v>
      </c>
      <c r="D42" s="1" t="s">
        <v>70</v>
      </c>
      <c r="E42" s="51"/>
      <c r="F42" s="6">
        <v>24.6</v>
      </c>
      <c r="L42" s="46" t="str">
        <f t="shared" si="2"/>
        <v>E150-F435(3層)</v>
      </c>
      <c r="M42" s="46" t="str">
        <f t="shared" si="1"/>
        <v>110E　一級</v>
      </c>
    </row>
    <row r="43" spans="1:13">
      <c r="A43" s="1" t="str">
        <f t="shared" si="3"/>
        <v>JAS機械等級区分構造用製材ひのきE110</v>
      </c>
      <c r="B43" s="1" t="s">
        <v>305</v>
      </c>
      <c r="C43" s="41" t="s">
        <v>65</v>
      </c>
      <c r="D43" s="1" t="s">
        <v>72</v>
      </c>
      <c r="E43" s="51"/>
      <c r="F43" s="6">
        <v>31.2</v>
      </c>
      <c r="L43" s="46" t="str">
        <f t="shared" si="2"/>
        <v>E135-F375(3層)</v>
      </c>
      <c r="M43" s="46" t="str">
        <f t="shared" si="1"/>
        <v>110E　二級</v>
      </c>
    </row>
    <row r="44" spans="1:13">
      <c r="A44" s="1" t="str">
        <f t="shared" si="3"/>
        <v>JAS機械等級区分構造用製材ひのきE130</v>
      </c>
      <c r="B44" s="1" t="s">
        <v>305</v>
      </c>
      <c r="C44" s="41" t="s">
        <v>65</v>
      </c>
      <c r="D44" s="1" t="s">
        <v>73</v>
      </c>
      <c r="E44" s="51"/>
      <c r="F44" s="6">
        <v>37.799999999999997</v>
      </c>
      <c r="L44" s="46" t="str">
        <f t="shared" si="2"/>
        <v>E120-F330(3層)</v>
      </c>
      <c r="M44" s="46" t="str">
        <f t="shared" si="1"/>
        <v>100E　特級</v>
      </c>
    </row>
    <row r="45" spans="1:13">
      <c r="A45" s="1" t="str">
        <f t="shared" si="3"/>
        <v xml:space="preserve">JAS機械等級区分構造用製材ひのきE150 </v>
      </c>
      <c r="B45" s="1" t="s">
        <v>305</v>
      </c>
      <c r="C45" s="41" t="s">
        <v>65</v>
      </c>
      <c r="D45" s="1" t="s">
        <v>71</v>
      </c>
      <c r="E45" s="51"/>
      <c r="F45" s="6">
        <v>44.4</v>
      </c>
      <c r="L45" s="46" t="str">
        <f t="shared" si="2"/>
        <v>E105-F300(3層)</v>
      </c>
      <c r="M45" s="46" t="str">
        <f t="shared" si="1"/>
        <v>100E　一級</v>
      </c>
    </row>
    <row r="46" spans="1:13">
      <c r="A46" s="1" t="str">
        <f t="shared" si="3"/>
        <v>JAS機械等級区分構造用製材ひばE50</v>
      </c>
      <c r="B46" s="1" t="s">
        <v>305</v>
      </c>
      <c r="C46" s="41" t="s">
        <v>64</v>
      </c>
      <c r="D46" s="1" t="s">
        <v>74</v>
      </c>
      <c r="E46" s="51"/>
      <c r="F46" s="6">
        <v>11.4</v>
      </c>
      <c r="L46" s="46" t="str">
        <f t="shared" si="2"/>
        <v>E95-F285(3層)</v>
      </c>
      <c r="M46" s="46" t="str">
        <f t="shared" si="1"/>
        <v>100E　二級</v>
      </c>
    </row>
    <row r="47" spans="1:13">
      <c r="A47" s="1" t="str">
        <f t="shared" si="3"/>
        <v>JAS機械等級区分構造用製材ひばE70</v>
      </c>
      <c r="B47" s="1" t="s">
        <v>305</v>
      </c>
      <c r="C47" s="41" t="s">
        <v>64</v>
      </c>
      <c r="D47" s="1" t="s">
        <v>75</v>
      </c>
      <c r="E47" s="51"/>
      <c r="F47" s="6">
        <v>18</v>
      </c>
      <c r="L47" s="46" t="str">
        <f t="shared" si="2"/>
        <v>E85-F270(3層)</v>
      </c>
      <c r="M47" s="46" t="str">
        <f t="shared" si="1"/>
        <v>90E　特級</v>
      </c>
    </row>
    <row r="48" spans="1:13">
      <c r="A48" s="1" t="str">
        <f t="shared" si="3"/>
        <v>JAS機械等級区分構造用製材ひばE90</v>
      </c>
      <c r="B48" s="1" t="s">
        <v>305</v>
      </c>
      <c r="C48" s="41" t="s">
        <v>64</v>
      </c>
      <c r="D48" s="1" t="s">
        <v>70</v>
      </c>
      <c r="E48" s="51"/>
      <c r="F48" s="6">
        <v>24.6</v>
      </c>
      <c r="L48" s="46" t="str">
        <f t="shared" si="2"/>
        <v>E75-F255(3層)</v>
      </c>
      <c r="M48" s="46" t="str">
        <f t="shared" si="1"/>
        <v>90E　一級</v>
      </c>
    </row>
    <row r="49" spans="1:16">
      <c r="A49" s="1" t="str">
        <f t="shared" si="3"/>
        <v>JAS機械等級区分構造用製材ひばE110</v>
      </c>
      <c r="B49" s="1" t="s">
        <v>305</v>
      </c>
      <c r="C49" s="41" t="s">
        <v>64</v>
      </c>
      <c r="D49" s="1" t="s">
        <v>72</v>
      </c>
      <c r="E49" s="51"/>
      <c r="F49" s="6">
        <v>31.2</v>
      </c>
      <c r="L49" s="46" t="str">
        <f t="shared" si="2"/>
        <v>E65-F240(3層)</v>
      </c>
      <c r="M49" s="46" t="str">
        <f t="shared" si="1"/>
        <v>90E　二級</v>
      </c>
    </row>
    <row r="50" spans="1:16">
      <c r="A50" s="1" t="str">
        <f t="shared" si="3"/>
        <v>JAS機械等級区分構造用製材ひばE130</v>
      </c>
      <c r="B50" s="1" t="s">
        <v>305</v>
      </c>
      <c r="C50" s="41" t="s">
        <v>64</v>
      </c>
      <c r="D50" s="1" t="s">
        <v>73</v>
      </c>
      <c r="E50" s="51"/>
      <c r="F50" s="6">
        <v>37.799999999999997</v>
      </c>
      <c r="G50" s="13"/>
      <c r="L50" s="46" t="str">
        <f t="shared" si="2"/>
        <v>E55-F225(3層)</v>
      </c>
      <c r="M50" s="46" t="str">
        <f t="shared" si="1"/>
        <v>80E　特級</v>
      </c>
    </row>
    <row r="51" spans="1:16">
      <c r="A51" s="1" t="str">
        <f t="shared" si="3"/>
        <v xml:space="preserve">JAS機械等級区分構造用製材ひばE150 </v>
      </c>
      <c r="B51" s="1" t="s">
        <v>305</v>
      </c>
      <c r="C51" s="41" t="s">
        <v>64</v>
      </c>
      <c r="D51" s="1" t="s">
        <v>71</v>
      </c>
      <c r="E51" s="51"/>
      <c r="F51" s="6">
        <v>44.4</v>
      </c>
      <c r="L51" s="46" t="str">
        <f t="shared" si="2"/>
        <v>E190-F510(2層)</v>
      </c>
      <c r="M51" s="46" t="str">
        <f t="shared" si="1"/>
        <v>80E　一級</v>
      </c>
    </row>
    <row r="52" spans="1:16">
      <c r="A52" s="1" t="str">
        <f t="shared" si="3"/>
        <v>JAS機械等級区分構造用製材すぎE50</v>
      </c>
      <c r="B52" s="1" t="s">
        <v>305</v>
      </c>
      <c r="C52" s="41" t="s">
        <v>68</v>
      </c>
      <c r="D52" s="1" t="s">
        <v>74</v>
      </c>
      <c r="E52" s="52"/>
      <c r="F52" s="6">
        <v>19.2</v>
      </c>
      <c r="L52" s="46" t="str">
        <f t="shared" si="2"/>
        <v>E170-F450(2層)</v>
      </c>
      <c r="M52" s="46" t="str">
        <f t="shared" si="1"/>
        <v>80E　二級</v>
      </c>
    </row>
    <row r="53" spans="1:16">
      <c r="A53" s="1" t="str">
        <f t="shared" si="3"/>
        <v>JAS機械等級区分構造用製材すぎE70</v>
      </c>
      <c r="B53" s="1" t="s">
        <v>305</v>
      </c>
      <c r="C53" s="41" t="s">
        <v>68</v>
      </c>
      <c r="D53" s="1" t="s">
        <v>75</v>
      </c>
      <c r="E53" s="52"/>
      <c r="F53" s="6">
        <v>23.4</v>
      </c>
      <c r="L53" s="46" t="str">
        <f t="shared" si="2"/>
        <v>E150-F390(2層)</v>
      </c>
      <c r="M53" s="46" t="str">
        <f t="shared" si="1"/>
        <v>70E　特級</v>
      </c>
    </row>
    <row r="54" spans="1:16">
      <c r="A54" s="1" t="str">
        <f t="shared" si="3"/>
        <v>JAS機械等級区分構造用製材すぎE90</v>
      </c>
      <c r="B54" s="1" t="s">
        <v>305</v>
      </c>
      <c r="C54" s="41" t="s">
        <v>68</v>
      </c>
      <c r="D54" s="1" t="s">
        <v>70</v>
      </c>
      <c r="E54" s="52"/>
      <c r="F54" s="6">
        <v>28.2</v>
      </c>
      <c r="G54" s="13"/>
      <c r="L54" s="46" t="str">
        <f t="shared" si="2"/>
        <v>E135-F345(2層)</v>
      </c>
      <c r="M54" s="46" t="str">
        <f t="shared" si="1"/>
        <v>70E　一級</v>
      </c>
    </row>
    <row r="55" spans="1:16">
      <c r="A55" s="1" t="str">
        <f t="shared" si="3"/>
        <v>JAS機械等級区分構造用製材すぎE110</v>
      </c>
      <c r="B55" s="1" t="s">
        <v>305</v>
      </c>
      <c r="C55" s="41" t="s">
        <v>68</v>
      </c>
      <c r="D55" s="1" t="s">
        <v>72</v>
      </c>
      <c r="E55" s="52"/>
      <c r="F55" s="6">
        <v>32.4</v>
      </c>
      <c r="G55" s="13"/>
      <c r="L55" s="46" t="str">
        <f>E144&amp;C144</f>
        <v>E120-F300(2層)</v>
      </c>
      <c r="M55" s="46" t="str">
        <f t="shared" si="1"/>
        <v>70E　二級</v>
      </c>
      <c r="N55" s="2"/>
      <c r="O55" s="2"/>
      <c r="P55" s="16"/>
    </row>
    <row r="56" spans="1:16" ht="20.100000000000001" customHeight="1">
      <c r="A56" s="1" t="str">
        <f t="shared" si="3"/>
        <v>JAS機械等級区分構造用製材すぎE130</v>
      </c>
      <c r="B56" s="1" t="s">
        <v>305</v>
      </c>
      <c r="C56" s="41" t="s">
        <v>68</v>
      </c>
      <c r="D56" s="1" t="s">
        <v>73</v>
      </c>
      <c r="E56" s="52"/>
      <c r="F56" s="6">
        <v>37.200000000000003</v>
      </c>
      <c r="I56" s="2"/>
      <c r="L56" s="46" t="str">
        <f>E145&amp;C145</f>
        <v>E105-F285(2層)</v>
      </c>
      <c r="M56" s="46" t="str">
        <f t="shared" si="1"/>
        <v>60E　特級</v>
      </c>
      <c r="N56" s="2"/>
      <c r="O56" s="2"/>
      <c r="P56" s="16"/>
    </row>
    <row r="57" spans="1:16" ht="20.100000000000001" customHeight="1">
      <c r="A57" s="1" t="str">
        <f t="shared" si="3"/>
        <v xml:space="preserve">JAS機械等級区分構造用製材すぎE150 </v>
      </c>
      <c r="B57" s="1" t="s">
        <v>305</v>
      </c>
      <c r="C57" s="41" t="s">
        <v>68</v>
      </c>
      <c r="D57" s="1" t="s">
        <v>71</v>
      </c>
      <c r="E57" s="52"/>
      <c r="F57" s="6">
        <v>41.4</v>
      </c>
      <c r="I57" s="2"/>
      <c r="J57"/>
      <c r="L57" s="46" t="str">
        <f>E146&amp;C146</f>
        <v>E95-F270(2層)</v>
      </c>
      <c r="M57" s="46" t="str">
        <f t="shared" si="1"/>
        <v>60E　一級</v>
      </c>
      <c r="N57" s="2"/>
      <c r="O57" s="2"/>
      <c r="P57" s="16"/>
    </row>
    <row r="58" spans="1:16" ht="20.100000000000001" customHeight="1">
      <c r="I58" s="2"/>
      <c r="J58"/>
      <c r="L58" s="46" t="str">
        <f t="shared" ref="L58:L61" si="4">E147&amp;C147</f>
        <v>E85-F255(2層)</v>
      </c>
      <c r="M58" s="46" t="str">
        <f t="shared" ref="M58:M61" si="5">D184&amp;"　"&amp;E184</f>
        <v>60E　二級</v>
      </c>
      <c r="N58" s="2"/>
      <c r="O58" s="2"/>
      <c r="P58" s="16"/>
    </row>
    <row r="59" spans="1:16" ht="20.100000000000001" customHeight="1">
      <c r="I59" s="2"/>
      <c r="J59"/>
      <c r="L59" s="46" t="str">
        <f t="shared" si="4"/>
        <v>E75-F240(2層)</v>
      </c>
      <c r="M59" s="46" t="str">
        <f t="shared" si="5"/>
        <v>50E　特級</v>
      </c>
      <c r="N59" s="2"/>
      <c r="O59" s="2"/>
      <c r="P59" s="16"/>
    </row>
    <row r="60" spans="1:16" ht="20.100000000000001" customHeight="1">
      <c r="E60" s="2"/>
      <c r="F60" s="2"/>
      <c r="I60" s="2"/>
      <c r="J60"/>
      <c r="L60" s="46" t="str">
        <f t="shared" si="4"/>
        <v>E65-F225(2層)</v>
      </c>
      <c r="M60" s="46" t="str">
        <f t="shared" si="5"/>
        <v>50E　一級</v>
      </c>
      <c r="N60" s="2"/>
      <c r="O60" s="2"/>
      <c r="P60" s="16"/>
    </row>
    <row r="61" spans="1:16" ht="20.100000000000001" customHeight="1">
      <c r="A61" s="3" t="s">
        <v>306</v>
      </c>
      <c r="B61" s="3" t="s">
        <v>244</v>
      </c>
      <c r="C61" s="41" t="s">
        <v>55</v>
      </c>
      <c r="D61" s="37" t="s">
        <v>54</v>
      </c>
      <c r="E61" s="37" t="s">
        <v>56</v>
      </c>
      <c r="F61" s="48" t="s">
        <v>307</v>
      </c>
      <c r="I61" s="2"/>
      <c r="J61"/>
      <c r="L61" s="46" t="str">
        <f t="shared" si="4"/>
        <v>E55-F200(2層)</v>
      </c>
      <c r="M61" s="46" t="str">
        <f t="shared" si="5"/>
        <v>50E　二級</v>
      </c>
      <c r="N61" s="2"/>
      <c r="O61" s="2"/>
      <c r="P61" s="16"/>
    </row>
    <row r="62" spans="1:16">
      <c r="A62" s="1" t="str">
        <f>B62&amp;C62&amp;E62</f>
        <v>JAS目視等級区分構造用製材あかまつ一級</v>
      </c>
      <c r="B62" s="1" t="s">
        <v>242</v>
      </c>
      <c r="C62" s="41" t="s">
        <v>60</v>
      </c>
      <c r="D62" s="945" t="s">
        <v>69</v>
      </c>
      <c r="E62" s="1" t="s">
        <v>57</v>
      </c>
      <c r="F62" s="6">
        <v>27</v>
      </c>
      <c r="I62" s="2"/>
      <c r="J62"/>
      <c r="L62" s="39" t="str">
        <f>C151&amp;E151</f>
        <v/>
      </c>
      <c r="M62" s="39"/>
    </row>
    <row r="63" spans="1:16">
      <c r="A63" s="1" t="str">
        <f t="shared" ref="A63:A88" si="6">B63&amp;C63&amp;E63</f>
        <v>JAS目視等級区分構造用製材あかまつ二級</v>
      </c>
      <c r="B63" s="1" t="s">
        <v>242</v>
      </c>
      <c r="C63" s="41" t="s">
        <v>60</v>
      </c>
      <c r="D63" s="945"/>
      <c r="E63" s="1" t="s">
        <v>58</v>
      </c>
      <c r="F63" s="6">
        <v>16.8</v>
      </c>
      <c r="J63"/>
      <c r="L63" s="39" t="str">
        <f>C152&amp;E152</f>
        <v/>
      </c>
      <c r="M63" s="39"/>
    </row>
    <row r="64" spans="1:16">
      <c r="A64" s="1" t="str">
        <f t="shared" si="6"/>
        <v>JAS目視等級区分構造用製材あかまつ三級</v>
      </c>
      <c r="B64" s="1" t="s">
        <v>242</v>
      </c>
      <c r="C64" s="41" t="s">
        <v>60</v>
      </c>
      <c r="D64" s="945"/>
      <c r="E64" s="1" t="s">
        <v>59</v>
      </c>
      <c r="F64" s="6">
        <v>11.4</v>
      </c>
      <c r="M64" s="39"/>
    </row>
    <row r="65" spans="1:13">
      <c r="A65" s="1" t="str">
        <f t="shared" si="6"/>
        <v>JAS目視等級区分構造用製材べいまつ一級</v>
      </c>
      <c r="B65" s="1" t="s">
        <v>242</v>
      </c>
      <c r="C65" s="41" t="s">
        <v>61</v>
      </c>
      <c r="D65" s="945" t="s">
        <v>69</v>
      </c>
      <c r="E65" s="1" t="s">
        <v>57</v>
      </c>
      <c r="F65" s="6">
        <v>27</v>
      </c>
      <c r="M65" s="39"/>
    </row>
    <row r="66" spans="1:13">
      <c r="A66" s="1" t="str">
        <f t="shared" si="6"/>
        <v>JAS目視等級区分構造用製材べいまつ二級</v>
      </c>
      <c r="B66" s="1" t="s">
        <v>242</v>
      </c>
      <c r="C66" s="41" t="s">
        <v>61</v>
      </c>
      <c r="D66" s="753"/>
      <c r="E66" s="1" t="s">
        <v>58</v>
      </c>
      <c r="F66" s="6">
        <v>18</v>
      </c>
      <c r="M66" s="39"/>
    </row>
    <row r="67" spans="1:13">
      <c r="A67" s="1" t="str">
        <f t="shared" si="6"/>
        <v>JAS目視等級区分構造用製材べいまつ三級</v>
      </c>
      <c r="B67" s="1" t="s">
        <v>242</v>
      </c>
      <c r="C67" s="41" t="s">
        <v>61</v>
      </c>
      <c r="D67" s="753"/>
      <c r="E67" s="1" t="s">
        <v>59</v>
      </c>
      <c r="F67" s="6">
        <v>13.8</v>
      </c>
    </row>
    <row r="68" spans="1:13">
      <c r="A68" s="1" t="str">
        <f t="shared" si="6"/>
        <v>JAS目視等級区分構造用製材からまつ一級</v>
      </c>
      <c r="B68" s="1" t="s">
        <v>242</v>
      </c>
      <c r="C68" s="41" t="s">
        <v>62</v>
      </c>
      <c r="D68" s="945" t="s">
        <v>69</v>
      </c>
      <c r="E68" s="1" t="s">
        <v>57</v>
      </c>
      <c r="F68" s="6">
        <v>23.4</v>
      </c>
    </row>
    <row r="69" spans="1:13">
      <c r="A69" s="1" t="str">
        <f t="shared" si="6"/>
        <v>JAS目視等級区分構造用製材からまつ二級</v>
      </c>
      <c r="B69" s="1" t="s">
        <v>242</v>
      </c>
      <c r="C69" s="41" t="s">
        <v>62</v>
      </c>
      <c r="D69" s="753"/>
      <c r="E69" s="1" t="s">
        <v>58</v>
      </c>
      <c r="F69" s="6">
        <v>20.399999999999999</v>
      </c>
    </row>
    <row r="70" spans="1:13">
      <c r="A70" s="1" t="str">
        <f t="shared" si="6"/>
        <v>JAS目視等級区分構造用製材からまつ三級</v>
      </c>
      <c r="B70" s="1" t="s">
        <v>242</v>
      </c>
      <c r="C70" s="41" t="s">
        <v>62</v>
      </c>
      <c r="D70" s="753"/>
      <c r="E70" s="1" t="s">
        <v>59</v>
      </c>
      <c r="F70" s="6">
        <v>18.600000000000001</v>
      </c>
    </row>
    <row r="71" spans="1:13">
      <c r="A71" s="1" t="str">
        <f t="shared" si="6"/>
        <v>JAS目視等級区分構造用製材ダフリカからまつ一級</v>
      </c>
      <c r="B71" s="1" t="s">
        <v>242</v>
      </c>
      <c r="C71" s="41" t="s">
        <v>63</v>
      </c>
      <c r="D71" s="945" t="s">
        <v>69</v>
      </c>
      <c r="E71" s="1" t="s">
        <v>57</v>
      </c>
      <c r="F71" s="6">
        <v>28.8</v>
      </c>
      <c r="H71" s="16"/>
    </row>
    <row r="72" spans="1:13" ht="18.75" customHeight="1">
      <c r="A72" s="1" t="str">
        <f t="shared" si="6"/>
        <v>JAS目視等級区分構造用製材ダフリカからまつ二級</v>
      </c>
      <c r="B72" s="1" t="s">
        <v>242</v>
      </c>
      <c r="C72" s="41" t="s">
        <v>63</v>
      </c>
      <c r="D72" s="753"/>
      <c r="E72" s="1" t="s">
        <v>58</v>
      </c>
      <c r="F72" s="6">
        <v>25.2</v>
      </c>
      <c r="H72" s="16"/>
    </row>
    <row r="73" spans="1:13">
      <c r="A73" s="1" t="str">
        <f t="shared" si="6"/>
        <v>JAS目視等級区分構造用製材ダフリカからまつ三級</v>
      </c>
      <c r="B73" s="1" t="s">
        <v>242</v>
      </c>
      <c r="C73" s="41" t="s">
        <v>63</v>
      </c>
      <c r="D73" s="753"/>
      <c r="E73" s="1" t="s">
        <v>59</v>
      </c>
      <c r="F73" s="6">
        <v>22.2</v>
      </c>
      <c r="H73" s="16"/>
    </row>
    <row r="74" spans="1:13">
      <c r="A74" s="1" t="str">
        <f t="shared" si="6"/>
        <v>JAS目視等級区分構造用製材ひば一級</v>
      </c>
      <c r="B74" s="1" t="s">
        <v>242</v>
      </c>
      <c r="C74" s="41" t="s">
        <v>64</v>
      </c>
      <c r="D74" s="945" t="s">
        <v>69</v>
      </c>
      <c r="E74" s="1" t="s">
        <v>57</v>
      </c>
      <c r="F74" s="6">
        <v>28.2</v>
      </c>
      <c r="H74" s="16"/>
    </row>
    <row r="75" spans="1:13">
      <c r="A75" s="1" t="str">
        <f t="shared" si="6"/>
        <v>JAS目視等級区分構造用製材ひば二級</v>
      </c>
      <c r="B75" s="1" t="s">
        <v>242</v>
      </c>
      <c r="C75" s="41" t="s">
        <v>64</v>
      </c>
      <c r="D75" s="753"/>
      <c r="E75" s="1" t="s">
        <v>58</v>
      </c>
      <c r="F75" s="6">
        <v>27.6</v>
      </c>
      <c r="H75" s="16"/>
    </row>
    <row r="76" spans="1:13">
      <c r="A76" s="1" t="str">
        <f t="shared" si="6"/>
        <v>JAS目視等級区分構造用製材ひば三級</v>
      </c>
      <c r="B76" s="1" t="s">
        <v>242</v>
      </c>
      <c r="C76" s="41" t="s">
        <v>64</v>
      </c>
      <c r="D76" s="753"/>
      <c r="E76" s="1" t="s">
        <v>59</v>
      </c>
      <c r="F76" s="6">
        <v>23.4</v>
      </c>
      <c r="H76" s="16"/>
    </row>
    <row r="77" spans="1:13">
      <c r="A77" s="1" t="str">
        <f t="shared" si="6"/>
        <v>JAS目視等級区分構造用製材ひのき一級</v>
      </c>
      <c r="B77" s="1" t="s">
        <v>242</v>
      </c>
      <c r="C77" s="41" t="s">
        <v>65</v>
      </c>
      <c r="D77" s="945" t="s">
        <v>69</v>
      </c>
      <c r="E77" s="1" t="s">
        <v>57</v>
      </c>
      <c r="F77" s="6">
        <v>30.6</v>
      </c>
      <c r="H77" s="16"/>
    </row>
    <row r="78" spans="1:13">
      <c r="A78" s="1" t="str">
        <f t="shared" si="6"/>
        <v>JAS目視等級区分構造用製材ひのき二級</v>
      </c>
      <c r="B78" s="1" t="s">
        <v>242</v>
      </c>
      <c r="C78" s="41" t="s">
        <v>65</v>
      </c>
      <c r="D78" s="753"/>
      <c r="E78" s="1" t="s">
        <v>58</v>
      </c>
      <c r="F78" s="6">
        <v>27</v>
      </c>
    </row>
    <row r="79" spans="1:13">
      <c r="A79" s="1" t="str">
        <f t="shared" si="6"/>
        <v>JAS目視等級区分構造用製材ひのき三級</v>
      </c>
      <c r="B79" s="1" t="s">
        <v>242</v>
      </c>
      <c r="C79" s="41" t="s">
        <v>65</v>
      </c>
      <c r="D79" s="753"/>
      <c r="E79" s="1" t="s">
        <v>59</v>
      </c>
      <c r="F79" s="6">
        <v>23.4</v>
      </c>
    </row>
    <row r="80" spans="1:13">
      <c r="A80" s="1" t="str">
        <f t="shared" si="6"/>
        <v>JAS目視等級区分構造用製材べいつが一級</v>
      </c>
      <c r="B80" s="1" t="s">
        <v>242</v>
      </c>
      <c r="C80" s="41" t="s">
        <v>66</v>
      </c>
      <c r="D80" s="945" t="s">
        <v>69</v>
      </c>
      <c r="E80" s="1" t="s">
        <v>57</v>
      </c>
      <c r="F80" s="6">
        <v>21</v>
      </c>
    </row>
    <row r="81" spans="1:7">
      <c r="A81" s="1" t="str">
        <f t="shared" si="6"/>
        <v>JAS目視等級区分構造用製材べいつが二級</v>
      </c>
      <c r="B81" s="1" t="s">
        <v>242</v>
      </c>
      <c r="C81" s="41" t="s">
        <v>66</v>
      </c>
      <c r="D81" s="753"/>
      <c r="E81" s="1" t="s">
        <v>58</v>
      </c>
      <c r="F81" s="6">
        <v>21</v>
      </c>
    </row>
    <row r="82" spans="1:7">
      <c r="A82" s="1" t="str">
        <f t="shared" si="6"/>
        <v>JAS目視等級区分構造用製材べいつが三級</v>
      </c>
      <c r="B82" s="1" t="s">
        <v>242</v>
      </c>
      <c r="C82" s="41" t="s">
        <v>66</v>
      </c>
      <c r="D82" s="753"/>
      <c r="E82" s="1" t="s">
        <v>59</v>
      </c>
      <c r="F82" s="6">
        <v>17.399999999999999</v>
      </c>
    </row>
    <row r="83" spans="1:7">
      <c r="A83" s="1" t="str">
        <f t="shared" si="6"/>
        <v>JAS目視等級区分構造用製材えぞまつ及びとどまつ一級</v>
      </c>
      <c r="B83" s="1" t="s">
        <v>242</v>
      </c>
      <c r="C83" s="41" t="s">
        <v>67</v>
      </c>
      <c r="D83" s="945" t="s">
        <v>69</v>
      </c>
      <c r="E83" s="1" t="s">
        <v>57</v>
      </c>
      <c r="F83" s="6">
        <v>27</v>
      </c>
    </row>
    <row r="84" spans="1:7">
      <c r="A84" s="1" t="str">
        <f t="shared" si="6"/>
        <v>JAS目視等級区分構造用製材えぞまつ及びとどまつ二級</v>
      </c>
      <c r="B84" s="1" t="s">
        <v>242</v>
      </c>
      <c r="C84" s="41" t="s">
        <v>67</v>
      </c>
      <c r="D84" s="753"/>
      <c r="E84" s="1" t="s">
        <v>58</v>
      </c>
      <c r="F84" s="6">
        <v>22.8</v>
      </c>
    </row>
    <row r="85" spans="1:7">
      <c r="A85" s="1" t="str">
        <f t="shared" si="6"/>
        <v>JAS目視等級区分構造用製材えぞまつ及びとどまつ三級</v>
      </c>
      <c r="B85" s="1" t="s">
        <v>242</v>
      </c>
      <c r="C85" s="41" t="s">
        <v>67</v>
      </c>
      <c r="D85" s="753"/>
      <c r="E85" s="1" t="s">
        <v>59</v>
      </c>
      <c r="F85" s="6">
        <v>13.8</v>
      </c>
    </row>
    <row r="86" spans="1:7">
      <c r="A86" s="1" t="str">
        <f t="shared" si="6"/>
        <v>JAS目視等級区分構造用製材すぎ一級</v>
      </c>
      <c r="B86" s="1" t="s">
        <v>242</v>
      </c>
      <c r="C86" s="41" t="s">
        <v>68</v>
      </c>
      <c r="D86" s="945" t="s">
        <v>69</v>
      </c>
      <c r="E86" s="1" t="s">
        <v>57</v>
      </c>
      <c r="F86" s="6">
        <v>21.6</v>
      </c>
    </row>
    <row r="87" spans="1:7">
      <c r="A87" s="1" t="str">
        <f t="shared" si="6"/>
        <v>JAS目視等級区分構造用製材すぎ二級</v>
      </c>
      <c r="B87" s="1" t="s">
        <v>242</v>
      </c>
      <c r="C87" s="41" t="s">
        <v>68</v>
      </c>
      <c r="D87" s="753"/>
      <c r="E87" s="1" t="s">
        <v>58</v>
      </c>
      <c r="F87" s="6">
        <v>20.399999999999999</v>
      </c>
    </row>
    <row r="88" spans="1:7">
      <c r="A88" s="1" t="str">
        <f t="shared" si="6"/>
        <v>JAS目視等級区分構造用製材すぎ三級</v>
      </c>
      <c r="B88" s="1" t="s">
        <v>242</v>
      </c>
      <c r="C88" s="41" t="s">
        <v>68</v>
      </c>
      <c r="D88" s="753"/>
      <c r="E88" s="1" t="s">
        <v>59</v>
      </c>
      <c r="F88" s="6">
        <v>18</v>
      </c>
    </row>
    <row r="91" spans="1:7">
      <c r="A91" s="2"/>
      <c r="B91" s="2"/>
      <c r="C91" s="946" t="s">
        <v>76</v>
      </c>
      <c r="D91" s="946"/>
      <c r="E91" s="946"/>
      <c r="F91" s="946"/>
      <c r="G91" s="12"/>
    </row>
    <row r="92" spans="1:7" ht="20.25">
      <c r="A92" s="3" t="s">
        <v>306</v>
      </c>
      <c r="B92" s="3" t="s">
        <v>244</v>
      </c>
      <c r="C92" s="945" t="s">
        <v>55</v>
      </c>
      <c r="D92" s="945"/>
      <c r="E92" s="41"/>
      <c r="F92" s="48" t="s">
        <v>307</v>
      </c>
      <c r="G92" s="7"/>
    </row>
    <row r="93" spans="1:7" ht="18" customHeight="1">
      <c r="A93" s="1" t="str">
        <f>B93&amp;C93&amp;"ー"</f>
        <v>無等級材あかまつー</v>
      </c>
      <c r="B93" s="1" t="s">
        <v>246</v>
      </c>
      <c r="C93" s="40" t="s">
        <v>60</v>
      </c>
      <c r="D93" s="945" t="s">
        <v>77</v>
      </c>
      <c r="E93" s="41"/>
      <c r="F93" s="6">
        <v>22.2</v>
      </c>
      <c r="G93" s="7"/>
    </row>
    <row r="94" spans="1:7">
      <c r="A94" s="1" t="str">
        <f t="shared" ref="A94:A114" si="7">B94&amp;C94&amp;"ー"</f>
        <v>無等級材くろまつー</v>
      </c>
      <c r="B94" s="1" t="s">
        <v>246</v>
      </c>
      <c r="C94" s="40" t="s">
        <v>254</v>
      </c>
      <c r="D94" s="945"/>
      <c r="E94" s="40"/>
      <c r="F94" s="6">
        <v>22.2</v>
      </c>
      <c r="G94" s="7"/>
    </row>
    <row r="95" spans="1:7">
      <c r="A95" s="1" t="str">
        <f t="shared" si="7"/>
        <v>無等級材べいまつー</v>
      </c>
      <c r="B95" s="1" t="s">
        <v>246</v>
      </c>
      <c r="C95" s="40" t="s">
        <v>61</v>
      </c>
      <c r="D95" s="945"/>
      <c r="E95" s="40"/>
      <c r="F95" s="6">
        <v>22.2</v>
      </c>
      <c r="G95" s="7"/>
    </row>
    <row r="96" spans="1:7" ht="18" customHeight="1">
      <c r="A96" s="1" t="str">
        <f t="shared" si="7"/>
        <v>無等級材からまつー</v>
      </c>
      <c r="B96" s="1" t="s">
        <v>246</v>
      </c>
      <c r="C96" s="40" t="s">
        <v>62</v>
      </c>
      <c r="D96" s="945"/>
      <c r="E96" s="41"/>
      <c r="F96" s="6">
        <v>20.7</v>
      </c>
      <c r="G96" s="7"/>
    </row>
    <row r="97" spans="1:7">
      <c r="A97" s="1" t="str">
        <f t="shared" si="7"/>
        <v>無等級材ひばー</v>
      </c>
      <c r="B97" s="1" t="s">
        <v>246</v>
      </c>
      <c r="C97" s="40" t="s">
        <v>64</v>
      </c>
      <c r="D97" s="945"/>
      <c r="E97" s="40"/>
      <c r="F97" s="6">
        <v>20.7</v>
      </c>
      <c r="G97" s="7"/>
    </row>
    <row r="98" spans="1:7">
      <c r="A98" s="1" t="str">
        <f t="shared" si="7"/>
        <v>無等級材ひのきー</v>
      </c>
      <c r="B98" s="1" t="s">
        <v>246</v>
      </c>
      <c r="C98" s="40" t="s">
        <v>65</v>
      </c>
      <c r="D98" s="945"/>
      <c r="E98" s="40"/>
      <c r="F98" s="6">
        <v>20.7</v>
      </c>
      <c r="G98" s="7"/>
    </row>
    <row r="99" spans="1:7">
      <c r="A99" s="1" t="str">
        <f t="shared" si="7"/>
        <v>無等級材べいひー</v>
      </c>
      <c r="B99" s="1" t="s">
        <v>246</v>
      </c>
      <c r="C99" s="40" t="s">
        <v>255</v>
      </c>
      <c r="D99" s="945"/>
      <c r="E99" s="40"/>
      <c r="F99" s="6">
        <v>20.7</v>
      </c>
      <c r="G99" s="7"/>
    </row>
    <row r="100" spans="1:7">
      <c r="A100" s="1" t="str">
        <f t="shared" si="7"/>
        <v>無等級材べいひばー</v>
      </c>
      <c r="B100" s="1" t="s">
        <v>246</v>
      </c>
      <c r="C100" s="40" t="s">
        <v>256</v>
      </c>
      <c r="D100" s="945"/>
      <c r="E100" s="40"/>
      <c r="F100" s="6">
        <v>20.7</v>
      </c>
      <c r="G100" s="7"/>
    </row>
    <row r="101" spans="1:7" ht="18" customHeight="1">
      <c r="A101" s="1" t="str">
        <f t="shared" si="7"/>
        <v>無等級材つがー</v>
      </c>
      <c r="B101" s="1" t="s">
        <v>246</v>
      </c>
      <c r="C101" s="40" t="s">
        <v>257</v>
      </c>
      <c r="D101" s="945"/>
      <c r="E101" s="41"/>
      <c r="F101" s="6">
        <v>19.2</v>
      </c>
      <c r="G101" s="7"/>
    </row>
    <row r="102" spans="1:7">
      <c r="A102" s="1" t="str">
        <f t="shared" si="7"/>
        <v>無等級材べいつがー</v>
      </c>
      <c r="B102" s="1" t="s">
        <v>246</v>
      </c>
      <c r="C102" s="40" t="s">
        <v>66</v>
      </c>
      <c r="D102" s="945"/>
      <c r="E102" s="40"/>
      <c r="F102" s="6">
        <v>19.2</v>
      </c>
      <c r="G102" s="7"/>
    </row>
    <row r="103" spans="1:7" ht="18.600000000000001" customHeight="1">
      <c r="A103" s="1" t="str">
        <f t="shared" si="7"/>
        <v>無等級材もみー</v>
      </c>
      <c r="B103" s="1" t="s">
        <v>246</v>
      </c>
      <c r="C103" s="40" t="s">
        <v>258</v>
      </c>
      <c r="D103" s="945"/>
      <c r="E103" s="41"/>
      <c r="F103" s="53">
        <v>17.7</v>
      </c>
      <c r="G103" s="7"/>
    </row>
    <row r="104" spans="1:7" ht="18.600000000000001" customHeight="1">
      <c r="A104" s="1" t="str">
        <f t="shared" si="7"/>
        <v>無等級材えぞまつー</v>
      </c>
      <c r="B104" s="1" t="s">
        <v>246</v>
      </c>
      <c r="C104" s="40" t="s">
        <v>279</v>
      </c>
      <c r="D104" s="945"/>
      <c r="E104" s="41"/>
      <c r="F104" s="53">
        <v>17.7</v>
      </c>
      <c r="G104" s="7"/>
    </row>
    <row r="105" spans="1:7" ht="18.600000000000001" customHeight="1">
      <c r="A105" s="1" t="str">
        <f t="shared" si="7"/>
        <v>無等級材とどまつー</v>
      </c>
      <c r="B105" s="1" t="s">
        <v>246</v>
      </c>
      <c r="C105" s="40" t="s">
        <v>280</v>
      </c>
      <c r="D105" s="945"/>
      <c r="E105" s="41"/>
      <c r="F105" s="53">
        <v>17.7</v>
      </c>
      <c r="G105" s="7"/>
    </row>
    <row r="106" spans="1:7" ht="18.600000000000001" customHeight="1">
      <c r="A106" s="1" t="str">
        <f t="shared" si="7"/>
        <v>無等級材べにまつー</v>
      </c>
      <c r="B106" s="1" t="s">
        <v>246</v>
      </c>
      <c r="C106" s="40" t="s">
        <v>281</v>
      </c>
      <c r="D106" s="945"/>
      <c r="E106" s="41"/>
      <c r="F106" s="53">
        <v>17.7</v>
      </c>
      <c r="G106" s="7"/>
    </row>
    <row r="107" spans="1:7" ht="18.600000000000001" customHeight="1">
      <c r="A107" s="1" t="str">
        <f t="shared" si="7"/>
        <v>無等級材すぎー</v>
      </c>
      <c r="B107" s="1" t="s">
        <v>246</v>
      </c>
      <c r="C107" s="40" t="s">
        <v>282</v>
      </c>
      <c r="D107" s="945"/>
      <c r="E107" s="41"/>
      <c r="F107" s="53">
        <v>17.7</v>
      </c>
      <c r="G107" s="7"/>
    </row>
    <row r="108" spans="1:7" ht="18.600000000000001" customHeight="1">
      <c r="A108" s="1" t="str">
        <f t="shared" si="7"/>
        <v>無等級材べいすぎー</v>
      </c>
      <c r="B108" s="1" t="s">
        <v>246</v>
      </c>
      <c r="C108" s="40" t="s">
        <v>283</v>
      </c>
      <c r="D108" s="945"/>
      <c r="E108" s="41"/>
      <c r="F108" s="53">
        <v>17.7</v>
      </c>
      <c r="G108" s="7"/>
    </row>
    <row r="109" spans="1:7" ht="18.600000000000001" customHeight="1">
      <c r="A109" s="1" t="str">
        <f t="shared" si="7"/>
        <v>無等級材スプルースー</v>
      </c>
      <c r="B109" s="1" t="s">
        <v>246</v>
      </c>
      <c r="C109" s="40" t="s">
        <v>284</v>
      </c>
      <c r="D109" s="945"/>
      <c r="E109" s="41"/>
      <c r="F109" s="53">
        <v>17.7</v>
      </c>
      <c r="G109" s="7"/>
    </row>
    <row r="110" spans="1:7">
      <c r="A110" s="1" t="str">
        <f t="shared" si="7"/>
        <v>無等級材かしー</v>
      </c>
      <c r="B110" s="1" t="s">
        <v>246</v>
      </c>
      <c r="C110" s="40" t="s">
        <v>79</v>
      </c>
      <c r="D110" s="945" t="s">
        <v>78</v>
      </c>
      <c r="E110" s="41"/>
      <c r="F110" s="6">
        <v>27</v>
      </c>
    </row>
    <row r="111" spans="1:7" ht="18.600000000000001" customHeight="1">
      <c r="A111" s="1" t="str">
        <f t="shared" si="7"/>
        <v>無等級材くりー</v>
      </c>
      <c r="B111" s="1" t="s">
        <v>246</v>
      </c>
      <c r="C111" s="40" t="s">
        <v>262</v>
      </c>
      <c r="D111" s="945"/>
      <c r="E111" s="41"/>
      <c r="F111" s="6">
        <v>21</v>
      </c>
    </row>
    <row r="112" spans="1:7">
      <c r="A112" s="1" t="str">
        <f t="shared" si="7"/>
        <v>無等級材ならー</v>
      </c>
      <c r="B112" s="1" t="s">
        <v>246</v>
      </c>
      <c r="C112" s="40" t="s">
        <v>263</v>
      </c>
      <c r="D112" s="945"/>
      <c r="E112" s="40"/>
      <c r="F112" s="6">
        <v>21</v>
      </c>
    </row>
    <row r="113" spans="1:6">
      <c r="A113" s="1" t="str">
        <f t="shared" si="7"/>
        <v>無等級材ぶなー</v>
      </c>
      <c r="B113" s="1" t="s">
        <v>246</v>
      </c>
      <c r="C113" s="40" t="s">
        <v>264</v>
      </c>
      <c r="D113" s="945"/>
      <c r="E113" s="40"/>
      <c r="F113" s="6">
        <v>21</v>
      </c>
    </row>
    <row r="114" spans="1:6">
      <c r="A114" s="1" t="str">
        <f t="shared" si="7"/>
        <v>無等級材けやきー</v>
      </c>
      <c r="B114" s="1" t="s">
        <v>246</v>
      </c>
      <c r="C114" s="40" t="s">
        <v>265</v>
      </c>
      <c r="D114" s="945"/>
      <c r="E114" s="40"/>
      <c r="F114" s="6">
        <v>21</v>
      </c>
    </row>
    <row r="116" spans="1:6" ht="22.5" customHeight="1">
      <c r="C116" s="946" t="s">
        <v>91</v>
      </c>
      <c r="D116" s="946"/>
      <c r="E116" s="946"/>
      <c r="F116" s="946"/>
    </row>
    <row r="117" spans="1:6" ht="20.25">
      <c r="A117" s="3" t="s">
        <v>306</v>
      </c>
      <c r="B117" s="3" t="s">
        <v>244</v>
      </c>
      <c r="C117" s="41" t="s">
        <v>92</v>
      </c>
      <c r="D117" s="41" t="s">
        <v>122</v>
      </c>
      <c r="E117" s="37" t="s">
        <v>56</v>
      </c>
      <c r="F117" s="48" t="s">
        <v>307</v>
      </c>
    </row>
    <row r="118" spans="1:6">
      <c r="A118" s="1" t="str">
        <f>B118&amp;"ー"&amp;E118&amp;C118</f>
        <v>JAS同一等級構成集成材ーE190-F615(4層以上)</v>
      </c>
      <c r="B118" s="1" t="s">
        <v>249</v>
      </c>
      <c r="C118" s="41" t="s">
        <v>273</v>
      </c>
      <c r="D118" s="18" t="s">
        <v>123</v>
      </c>
      <c r="E118" s="1" t="s">
        <v>93</v>
      </c>
      <c r="F118" s="6">
        <v>50.3</v>
      </c>
    </row>
    <row r="119" spans="1:6">
      <c r="A119" s="1" t="str">
        <f t="shared" ref="A119:A150" si="8">B119&amp;"ー"&amp;E119&amp;C119</f>
        <v>JAS同一等級構成集成材ーE170-F540(4層以上)</v>
      </c>
      <c r="B119" s="1" t="s">
        <v>249</v>
      </c>
      <c r="C119" s="41" t="s">
        <v>273</v>
      </c>
      <c r="D119" s="18" t="s">
        <v>124</v>
      </c>
      <c r="E119" s="1" t="s">
        <v>94</v>
      </c>
      <c r="F119" s="6">
        <v>44.6</v>
      </c>
    </row>
    <row r="120" spans="1:6">
      <c r="A120" s="1" t="str">
        <f t="shared" si="8"/>
        <v>JAS同一等級構成集成材ーE150-F465(4層以上)</v>
      </c>
      <c r="B120" s="1" t="s">
        <v>249</v>
      </c>
      <c r="C120" s="41" t="s">
        <v>273</v>
      </c>
      <c r="D120" s="18" t="s">
        <v>125</v>
      </c>
      <c r="E120" s="1" t="s">
        <v>95</v>
      </c>
      <c r="F120" s="6">
        <v>39.200000000000003</v>
      </c>
    </row>
    <row r="121" spans="1:6">
      <c r="A121" s="1" t="str">
        <f t="shared" si="8"/>
        <v>JAS同一等級構成集成材ーE135-F405(4層以上)</v>
      </c>
      <c r="B121" s="1" t="s">
        <v>249</v>
      </c>
      <c r="C121" s="41" t="s">
        <v>273</v>
      </c>
      <c r="D121" s="18" t="s">
        <v>126</v>
      </c>
      <c r="E121" s="1" t="s">
        <v>96</v>
      </c>
      <c r="F121" s="6">
        <v>33.4</v>
      </c>
    </row>
    <row r="122" spans="1:6">
      <c r="A122" s="1" t="str">
        <f t="shared" si="8"/>
        <v>JAS同一等級構成集成材ーE120-F375(4層以上)</v>
      </c>
      <c r="B122" s="1" t="s">
        <v>249</v>
      </c>
      <c r="C122" s="41" t="s">
        <v>273</v>
      </c>
      <c r="D122" s="18" t="s">
        <v>127</v>
      </c>
      <c r="E122" s="1" t="s">
        <v>97</v>
      </c>
      <c r="F122" s="6">
        <v>30.1</v>
      </c>
    </row>
    <row r="123" spans="1:6">
      <c r="A123" s="1" t="str">
        <f t="shared" si="8"/>
        <v>JAS同一等級構成集成材ーE105-F345(4層以上)</v>
      </c>
      <c r="B123" s="1" t="s">
        <v>249</v>
      </c>
      <c r="C123" s="41" t="s">
        <v>273</v>
      </c>
      <c r="D123" s="18" t="s">
        <v>128</v>
      </c>
      <c r="E123" s="1" t="s">
        <v>98</v>
      </c>
      <c r="F123" s="6">
        <v>28.1</v>
      </c>
    </row>
    <row r="124" spans="1:6">
      <c r="A124" s="1" t="str">
        <f t="shared" si="8"/>
        <v>JAS同一等級構成集成材ーE95-F315(4層以上)</v>
      </c>
      <c r="B124" s="1" t="s">
        <v>249</v>
      </c>
      <c r="C124" s="41" t="s">
        <v>273</v>
      </c>
      <c r="D124" s="18" t="s">
        <v>129</v>
      </c>
      <c r="E124" s="1" t="s">
        <v>99</v>
      </c>
      <c r="F124" s="6">
        <v>26</v>
      </c>
    </row>
    <row r="125" spans="1:6">
      <c r="A125" s="1" t="str">
        <f t="shared" si="8"/>
        <v>JAS同一等級構成集成材ーE85-F300(4層以上)</v>
      </c>
      <c r="B125" s="1" t="s">
        <v>249</v>
      </c>
      <c r="C125" s="41" t="s">
        <v>273</v>
      </c>
      <c r="D125" s="18" t="s">
        <v>591</v>
      </c>
      <c r="E125" s="1" t="s">
        <v>592</v>
      </c>
      <c r="F125" s="6">
        <v>24.3</v>
      </c>
    </row>
    <row r="126" spans="1:6">
      <c r="A126" s="1" t="str">
        <f t="shared" si="8"/>
        <v>JAS同一等級構成集成材ーE75-F270(4層以上)</v>
      </c>
      <c r="B126" s="1" t="s">
        <v>249</v>
      </c>
      <c r="C126" s="41" t="s">
        <v>273</v>
      </c>
      <c r="D126" s="18" t="s">
        <v>130</v>
      </c>
      <c r="E126" s="1" t="s">
        <v>100</v>
      </c>
      <c r="F126" s="6">
        <v>22.3</v>
      </c>
    </row>
    <row r="127" spans="1:6">
      <c r="A127" s="1" t="str">
        <f t="shared" si="8"/>
        <v>JAS同一等級構成集成材ーE65-F255(4層以上)</v>
      </c>
      <c r="B127" s="1" t="s">
        <v>249</v>
      </c>
      <c r="C127" s="41" t="s">
        <v>273</v>
      </c>
      <c r="D127" s="18" t="s">
        <v>131</v>
      </c>
      <c r="E127" s="1" t="s">
        <v>101</v>
      </c>
      <c r="F127" s="6">
        <v>20.6</v>
      </c>
    </row>
    <row r="128" spans="1:6">
      <c r="A128" s="1" t="str">
        <f t="shared" si="8"/>
        <v>JAS同一等級構成集成材ーE55-F225(4層以上)</v>
      </c>
      <c r="B128" s="1" t="s">
        <v>249</v>
      </c>
      <c r="C128" s="41" t="s">
        <v>273</v>
      </c>
      <c r="D128" s="18" t="s">
        <v>132</v>
      </c>
      <c r="E128" s="1" t="s">
        <v>102</v>
      </c>
      <c r="F128" s="6">
        <v>18.600000000000001</v>
      </c>
    </row>
    <row r="129" spans="1:7">
      <c r="A129" s="1" t="str">
        <f t="shared" si="8"/>
        <v>JAS同一等級構成集成材ーE190-F555(3層)</v>
      </c>
      <c r="B129" s="1" t="s">
        <v>249</v>
      </c>
      <c r="C129" s="41" t="s">
        <v>274</v>
      </c>
      <c r="D129" s="18" t="s">
        <v>123</v>
      </c>
      <c r="E129" s="1" t="s">
        <v>103</v>
      </c>
      <c r="F129" s="6">
        <v>45.8</v>
      </c>
    </row>
    <row r="130" spans="1:7">
      <c r="A130" s="1" t="str">
        <f t="shared" si="8"/>
        <v>JAS同一等級構成集成材ーE170-F495(3層)</v>
      </c>
      <c r="B130" s="1" t="s">
        <v>249</v>
      </c>
      <c r="C130" s="41" t="s">
        <v>274</v>
      </c>
      <c r="D130" s="18" t="s">
        <v>124</v>
      </c>
      <c r="E130" s="1" t="s">
        <v>104</v>
      </c>
      <c r="F130" s="6">
        <v>40.5</v>
      </c>
    </row>
    <row r="131" spans="1:7">
      <c r="A131" s="1" t="str">
        <f t="shared" si="8"/>
        <v>JAS同一等級構成集成材ーE150-F435(3層)</v>
      </c>
      <c r="B131" s="1" t="s">
        <v>249</v>
      </c>
      <c r="C131" s="41" t="s">
        <v>274</v>
      </c>
      <c r="D131" s="18" t="s">
        <v>125</v>
      </c>
      <c r="E131" s="1" t="s">
        <v>105</v>
      </c>
      <c r="F131" s="6">
        <v>35.6</v>
      </c>
    </row>
    <row r="132" spans="1:7">
      <c r="A132" s="1" t="str">
        <f t="shared" si="8"/>
        <v>JAS同一等級構成集成材ーE135-F375(3層)</v>
      </c>
      <c r="B132" s="1" t="s">
        <v>249</v>
      </c>
      <c r="C132" s="41" t="s">
        <v>274</v>
      </c>
      <c r="D132" s="18" t="s">
        <v>126</v>
      </c>
      <c r="E132" s="1" t="s">
        <v>106</v>
      </c>
      <c r="F132" s="6">
        <v>30.4</v>
      </c>
    </row>
    <row r="133" spans="1:7">
      <c r="A133" s="1" t="str">
        <f t="shared" si="8"/>
        <v>JAS同一等級構成集成材ーE120-F330(3層)</v>
      </c>
      <c r="B133" s="1" t="s">
        <v>249</v>
      </c>
      <c r="C133" s="41" t="s">
        <v>274</v>
      </c>
      <c r="D133" s="18" t="s">
        <v>127</v>
      </c>
      <c r="E133" s="1" t="s">
        <v>107</v>
      </c>
      <c r="F133" s="6">
        <v>27.4</v>
      </c>
    </row>
    <row r="134" spans="1:7">
      <c r="A134" s="1" t="str">
        <f t="shared" si="8"/>
        <v>JAS同一等級構成集成材ーE105-F300(3層)</v>
      </c>
      <c r="B134" s="1" t="s">
        <v>249</v>
      </c>
      <c r="C134" s="41" t="s">
        <v>274</v>
      </c>
      <c r="D134" s="18" t="s">
        <v>128</v>
      </c>
      <c r="E134" s="1" t="s">
        <v>108</v>
      </c>
      <c r="F134" s="6">
        <v>25.5</v>
      </c>
    </row>
    <row r="135" spans="1:7">
      <c r="A135" s="1" t="str">
        <f t="shared" si="8"/>
        <v>JAS同一等級構成集成材ーE95-F285(3層)</v>
      </c>
      <c r="B135" s="1" t="s">
        <v>249</v>
      </c>
      <c r="C135" s="41" t="s">
        <v>274</v>
      </c>
      <c r="D135" s="18" t="s">
        <v>129</v>
      </c>
      <c r="E135" s="1" t="s">
        <v>109</v>
      </c>
      <c r="F135" s="6">
        <v>23.6</v>
      </c>
    </row>
    <row r="136" spans="1:7">
      <c r="A136" s="1" t="str">
        <f t="shared" si="8"/>
        <v>JAS同一等級構成集成材ーE85-F270(3層)</v>
      </c>
      <c r="B136" s="1" t="s">
        <v>249</v>
      </c>
      <c r="C136" s="41" t="s">
        <v>274</v>
      </c>
      <c r="D136" s="18" t="s">
        <v>591</v>
      </c>
      <c r="E136" s="1" t="s">
        <v>593</v>
      </c>
      <c r="F136" s="6">
        <v>22.1</v>
      </c>
    </row>
    <row r="137" spans="1:7">
      <c r="A137" s="1" t="str">
        <f t="shared" si="8"/>
        <v>JAS同一等級構成集成材ーE75-F255(3層)</v>
      </c>
      <c r="B137" s="1" t="s">
        <v>249</v>
      </c>
      <c r="C137" s="41" t="s">
        <v>274</v>
      </c>
      <c r="D137" s="18" t="s">
        <v>130</v>
      </c>
      <c r="E137" s="1" t="s">
        <v>110</v>
      </c>
      <c r="F137" s="6">
        <v>20.3</v>
      </c>
    </row>
    <row r="138" spans="1:7">
      <c r="A138" s="1" t="str">
        <f t="shared" si="8"/>
        <v>JAS同一等級構成集成材ーE65-F240(3層)</v>
      </c>
      <c r="B138" s="1" t="s">
        <v>249</v>
      </c>
      <c r="C138" s="41" t="s">
        <v>274</v>
      </c>
      <c r="D138" s="18" t="s">
        <v>131</v>
      </c>
      <c r="E138" s="1" t="s">
        <v>111</v>
      </c>
      <c r="F138" s="6">
        <v>18.8</v>
      </c>
    </row>
    <row r="139" spans="1:7">
      <c r="A139" s="1" t="str">
        <f t="shared" si="8"/>
        <v>JAS同一等級構成集成材ーE55-F225(3層)</v>
      </c>
      <c r="B139" s="1" t="s">
        <v>249</v>
      </c>
      <c r="C139" s="41" t="s">
        <v>274</v>
      </c>
      <c r="D139" s="18" t="s">
        <v>132</v>
      </c>
      <c r="E139" s="1" t="s">
        <v>102</v>
      </c>
      <c r="F139" s="6">
        <v>16.899999999999999</v>
      </c>
    </row>
    <row r="140" spans="1:7">
      <c r="A140" s="1" t="str">
        <f t="shared" si="8"/>
        <v>JAS同一等級構成集成材ーE190-F510(2層)</v>
      </c>
      <c r="B140" s="1" t="s">
        <v>249</v>
      </c>
      <c r="C140" s="41" t="s">
        <v>275</v>
      </c>
      <c r="D140" s="18" t="s">
        <v>123</v>
      </c>
      <c r="E140" s="1" t="s">
        <v>112</v>
      </c>
      <c r="F140" s="6">
        <v>45.8</v>
      </c>
    </row>
    <row r="141" spans="1:7">
      <c r="A141" s="1" t="str">
        <f t="shared" si="8"/>
        <v>JAS同一等級構成集成材ーE170-F450(2層)</v>
      </c>
      <c r="B141" s="1" t="s">
        <v>249</v>
      </c>
      <c r="C141" s="41" t="s">
        <v>275</v>
      </c>
      <c r="D141" s="18" t="s">
        <v>124</v>
      </c>
      <c r="E141" s="1" t="s">
        <v>113</v>
      </c>
      <c r="F141" s="6">
        <v>40.5</v>
      </c>
    </row>
    <row r="142" spans="1:7">
      <c r="A142" s="1" t="str">
        <f t="shared" si="8"/>
        <v>JAS同一等級構成集成材ーE150-F390(2層)</v>
      </c>
      <c r="B142" s="1" t="s">
        <v>249</v>
      </c>
      <c r="C142" s="41" t="s">
        <v>275</v>
      </c>
      <c r="D142" s="18" t="s">
        <v>125</v>
      </c>
      <c r="E142" s="1" t="s">
        <v>114</v>
      </c>
      <c r="F142" s="6">
        <v>35.6</v>
      </c>
      <c r="G142" s="12"/>
    </row>
    <row r="143" spans="1:7">
      <c r="A143" s="1" t="str">
        <f t="shared" si="8"/>
        <v>JAS同一等級構成集成材ーE135-F345(2層)</v>
      </c>
      <c r="B143" s="1" t="s">
        <v>249</v>
      </c>
      <c r="C143" s="41" t="s">
        <v>275</v>
      </c>
      <c r="D143" s="18" t="s">
        <v>126</v>
      </c>
      <c r="E143" s="1" t="s">
        <v>115</v>
      </c>
      <c r="F143" s="6">
        <v>30.4</v>
      </c>
      <c r="G143" s="7"/>
    </row>
    <row r="144" spans="1:7">
      <c r="A144" s="1" t="str">
        <f t="shared" si="8"/>
        <v>JAS同一等級構成集成材ーE120-F300(2層)</v>
      </c>
      <c r="B144" s="1" t="s">
        <v>249</v>
      </c>
      <c r="C144" s="41" t="s">
        <v>275</v>
      </c>
      <c r="D144" s="18" t="s">
        <v>127</v>
      </c>
      <c r="E144" s="1" t="s">
        <v>116</v>
      </c>
      <c r="F144" s="6">
        <v>27.4</v>
      </c>
      <c r="G144" s="7"/>
    </row>
    <row r="145" spans="1:6">
      <c r="A145" s="1" t="str">
        <f t="shared" si="8"/>
        <v>JAS同一等級構成集成材ーE105-F285(2層)</v>
      </c>
      <c r="B145" s="1" t="s">
        <v>249</v>
      </c>
      <c r="C145" s="41" t="s">
        <v>275</v>
      </c>
      <c r="D145" s="18" t="s">
        <v>128</v>
      </c>
      <c r="E145" s="1" t="s">
        <v>117</v>
      </c>
      <c r="F145" s="6">
        <v>25.5</v>
      </c>
    </row>
    <row r="146" spans="1:6">
      <c r="A146" s="1" t="str">
        <f t="shared" si="8"/>
        <v>JAS同一等級構成集成材ーE95-F270(2層)</v>
      </c>
      <c r="B146" s="1" t="s">
        <v>249</v>
      </c>
      <c r="C146" s="41" t="s">
        <v>275</v>
      </c>
      <c r="D146" s="18" t="s">
        <v>129</v>
      </c>
      <c r="E146" s="1" t="s">
        <v>118</v>
      </c>
      <c r="F146" s="6">
        <v>23.6</v>
      </c>
    </row>
    <row r="147" spans="1:6">
      <c r="A147" s="1" t="str">
        <f t="shared" si="8"/>
        <v>JAS同一等級構成集成材ーE85-F255(2層)</v>
      </c>
      <c r="B147" s="1" t="s">
        <v>249</v>
      </c>
      <c r="C147" s="41" t="s">
        <v>275</v>
      </c>
      <c r="D147" s="18" t="s">
        <v>591</v>
      </c>
      <c r="E147" s="1" t="s">
        <v>594</v>
      </c>
      <c r="F147" s="6">
        <v>22.1</v>
      </c>
    </row>
    <row r="148" spans="1:6">
      <c r="A148" s="1" t="str">
        <f t="shared" si="8"/>
        <v>JAS同一等級構成集成材ーE75-F240(2層)</v>
      </c>
      <c r="B148" s="1" t="s">
        <v>249</v>
      </c>
      <c r="C148" s="41" t="s">
        <v>275</v>
      </c>
      <c r="D148" s="18" t="s">
        <v>130</v>
      </c>
      <c r="E148" s="1" t="s">
        <v>119</v>
      </c>
      <c r="F148" s="6">
        <v>20.3</v>
      </c>
    </row>
    <row r="149" spans="1:6">
      <c r="A149" s="1" t="str">
        <f t="shared" si="8"/>
        <v>JAS同一等級構成集成材ーE65-F225(2層)</v>
      </c>
      <c r="B149" s="1" t="s">
        <v>249</v>
      </c>
      <c r="C149" s="41" t="s">
        <v>275</v>
      </c>
      <c r="D149" s="18" t="s">
        <v>131</v>
      </c>
      <c r="E149" s="1" t="s">
        <v>120</v>
      </c>
      <c r="F149" s="6">
        <v>18.8</v>
      </c>
    </row>
    <row r="150" spans="1:6">
      <c r="A150" s="1" t="str">
        <f t="shared" si="8"/>
        <v>JAS同一等級構成集成材ーE55-F200(2層)</v>
      </c>
      <c r="B150" s="1" t="s">
        <v>249</v>
      </c>
      <c r="C150" s="41" t="s">
        <v>275</v>
      </c>
      <c r="D150" s="18" t="s">
        <v>132</v>
      </c>
      <c r="E150" s="1" t="s">
        <v>121</v>
      </c>
      <c r="F150" s="6">
        <v>16.899999999999999</v>
      </c>
    </row>
    <row r="153" spans="1:6">
      <c r="C153" s="2" t="s">
        <v>133</v>
      </c>
      <c r="D153" s="946" t="s">
        <v>133</v>
      </c>
      <c r="E153" s="946"/>
      <c r="F153" s="946"/>
    </row>
    <row r="154" spans="1:6" ht="20.25">
      <c r="A154" s="3" t="s">
        <v>306</v>
      </c>
      <c r="B154" s="3" t="s">
        <v>244</v>
      </c>
      <c r="C154" s="41"/>
      <c r="D154" s="41" t="s">
        <v>134</v>
      </c>
      <c r="E154" s="37" t="s">
        <v>56</v>
      </c>
      <c r="F154" s="48" t="s">
        <v>307</v>
      </c>
    </row>
    <row r="155" spans="1:6">
      <c r="A155" t="str">
        <f>B155&amp;"ー"&amp;D155&amp;"　"&amp;E155</f>
        <v>JASA種構造用単板積層材ー180E　特級</v>
      </c>
      <c r="B155" s="1" t="s">
        <v>266</v>
      </c>
      <c r="C155" s="41"/>
      <c r="D155" s="18" t="s">
        <v>84</v>
      </c>
      <c r="E155" s="1" t="s">
        <v>144</v>
      </c>
      <c r="F155" s="6">
        <v>46.8</v>
      </c>
    </row>
    <row r="156" spans="1:6">
      <c r="A156" t="str">
        <f t="shared" ref="A156:A187" si="9">B156&amp;"ー"&amp;D156&amp;"　"&amp;E156</f>
        <v>JASA種構造用単板積層材ー180E　一級</v>
      </c>
      <c r="B156" s="1" t="s">
        <v>266</v>
      </c>
      <c r="C156" s="41"/>
      <c r="D156" s="18" t="s">
        <v>83</v>
      </c>
      <c r="E156" s="1" t="s">
        <v>57</v>
      </c>
      <c r="F156" s="6">
        <v>45</v>
      </c>
    </row>
    <row r="157" spans="1:6">
      <c r="A157" t="str">
        <f t="shared" si="9"/>
        <v>JASA種構造用単板積層材ー180E　二級</v>
      </c>
      <c r="B157" s="1" t="s">
        <v>266</v>
      </c>
      <c r="C157" s="41"/>
      <c r="D157" s="18" t="s">
        <v>83</v>
      </c>
      <c r="E157" s="1" t="s">
        <v>58</v>
      </c>
      <c r="F157" s="6">
        <v>42</v>
      </c>
    </row>
    <row r="158" spans="1:6">
      <c r="A158" t="str">
        <f t="shared" si="9"/>
        <v>JASA種構造用単板積層材ー160E　特級</v>
      </c>
      <c r="B158" s="1" t="s">
        <v>266</v>
      </c>
      <c r="C158" s="41"/>
      <c r="D158" s="18" t="s">
        <v>135</v>
      </c>
      <c r="E158" s="1" t="s">
        <v>144</v>
      </c>
      <c r="F158" s="6">
        <v>41.4</v>
      </c>
    </row>
    <row r="159" spans="1:6">
      <c r="A159" t="str">
        <f t="shared" si="9"/>
        <v>JASA種構造用単板積層材ー160E　一級</v>
      </c>
      <c r="B159" s="1" t="s">
        <v>266</v>
      </c>
      <c r="C159" s="41"/>
      <c r="D159" s="18" t="s">
        <v>135</v>
      </c>
      <c r="E159" s="1" t="s">
        <v>57</v>
      </c>
      <c r="F159" s="6">
        <v>40.200000000000003</v>
      </c>
    </row>
    <row r="160" spans="1:6">
      <c r="A160" t="str">
        <f t="shared" si="9"/>
        <v>JASA種構造用単板積層材ー160E　二級</v>
      </c>
      <c r="B160" s="1" t="s">
        <v>266</v>
      </c>
      <c r="C160" s="41"/>
      <c r="D160" s="18" t="s">
        <v>135</v>
      </c>
      <c r="E160" s="1" t="s">
        <v>58</v>
      </c>
      <c r="F160" s="6">
        <v>37.200000000000003</v>
      </c>
    </row>
    <row r="161" spans="1:6">
      <c r="A161" t="str">
        <f t="shared" si="9"/>
        <v>JASA種構造用単板積層材ー140E　特級</v>
      </c>
      <c r="B161" s="1" t="s">
        <v>266</v>
      </c>
      <c r="C161" s="41"/>
      <c r="D161" s="18" t="s">
        <v>136</v>
      </c>
      <c r="E161" s="1" t="s">
        <v>144</v>
      </c>
      <c r="F161" s="6">
        <v>36</v>
      </c>
    </row>
    <row r="162" spans="1:6">
      <c r="A162" t="str">
        <f t="shared" si="9"/>
        <v>JASA種構造用単板積層材ー140E　一級</v>
      </c>
      <c r="B162" s="1" t="s">
        <v>266</v>
      </c>
      <c r="C162" s="41"/>
      <c r="D162" s="18" t="s">
        <v>136</v>
      </c>
      <c r="E162" s="1" t="s">
        <v>57</v>
      </c>
      <c r="F162" s="6">
        <v>34.799999999999997</v>
      </c>
    </row>
    <row r="163" spans="1:6">
      <c r="A163" t="str">
        <f t="shared" si="9"/>
        <v>JASA種構造用単板積層材ー140E　二級</v>
      </c>
      <c r="B163" s="1" t="s">
        <v>266</v>
      </c>
      <c r="C163" s="41"/>
      <c r="D163" s="18" t="s">
        <v>136</v>
      </c>
      <c r="E163" s="1" t="s">
        <v>58</v>
      </c>
      <c r="F163" s="6">
        <v>32.4</v>
      </c>
    </row>
    <row r="164" spans="1:6">
      <c r="A164" t="str">
        <f t="shared" si="9"/>
        <v>JASA種構造用単板積層材ー120E　特級</v>
      </c>
      <c r="B164" s="1" t="s">
        <v>266</v>
      </c>
      <c r="C164" s="41"/>
      <c r="D164" s="18" t="s">
        <v>137</v>
      </c>
      <c r="E164" s="1" t="s">
        <v>144</v>
      </c>
      <c r="F164" s="6">
        <v>31.2</v>
      </c>
    </row>
    <row r="165" spans="1:6">
      <c r="A165" t="str">
        <f t="shared" si="9"/>
        <v>JASA種構造用単板積層材ー120E　一級</v>
      </c>
      <c r="B165" s="1" t="s">
        <v>266</v>
      </c>
      <c r="C165" s="41"/>
      <c r="D165" s="18" t="s">
        <v>137</v>
      </c>
      <c r="E165" s="1" t="s">
        <v>57</v>
      </c>
      <c r="F165" s="6">
        <v>30</v>
      </c>
    </row>
    <row r="166" spans="1:6">
      <c r="A166" t="str">
        <f t="shared" si="9"/>
        <v>JASA種構造用単板積層材ー120E　二級</v>
      </c>
      <c r="B166" s="1" t="s">
        <v>266</v>
      </c>
      <c r="C166" s="41"/>
      <c r="D166" s="18" t="s">
        <v>137</v>
      </c>
      <c r="E166" s="1" t="s">
        <v>58</v>
      </c>
      <c r="F166" s="6">
        <v>27.6</v>
      </c>
    </row>
    <row r="167" spans="1:6">
      <c r="A167" t="str">
        <f t="shared" si="9"/>
        <v>JASA種構造用単板積層材ー110E　特級</v>
      </c>
      <c r="B167" s="1" t="s">
        <v>266</v>
      </c>
      <c r="C167" s="41"/>
      <c r="D167" s="18" t="s">
        <v>138</v>
      </c>
      <c r="E167" s="1" t="s">
        <v>144</v>
      </c>
      <c r="F167" s="6">
        <v>28.2</v>
      </c>
    </row>
    <row r="168" spans="1:6">
      <c r="A168" t="str">
        <f t="shared" si="9"/>
        <v>JASA種構造用単板積層材ー110E　一級</v>
      </c>
      <c r="B168" s="1" t="s">
        <v>266</v>
      </c>
      <c r="C168" s="41"/>
      <c r="D168" s="18" t="s">
        <v>138</v>
      </c>
      <c r="E168" s="1" t="s">
        <v>57</v>
      </c>
      <c r="F168" s="6">
        <v>27</v>
      </c>
    </row>
    <row r="169" spans="1:6">
      <c r="A169" t="str">
        <f t="shared" si="9"/>
        <v>JASA種構造用単板積層材ー110E　二級</v>
      </c>
      <c r="B169" s="1" t="s">
        <v>266</v>
      </c>
      <c r="C169" s="41"/>
      <c r="D169" s="18" t="s">
        <v>138</v>
      </c>
      <c r="E169" s="1" t="s">
        <v>58</v>
      </c>
      <c r="F169" s="6">
        <v>25.8</v>
      </c>
    </row>
    <row r="170" spans="1:6">
      <c r="A170" t="str">
        <f t="shared" si="9"/>
        <v>JASA種構造用単板積層材ー100E　特級</v>
      </c>
      <c r="B170" s="1" t="s">
        <v>266</v>
      </c>
      <c r="C170" s="41"/>
      <c r="D170" s="18" t="s">
        <v>139</v>
      </c>
      <c r="E170" s="1" t="s">
        <v>144</v>
      </c>
      <c r="F170" s="6">
        <v>25.8</v>
      </c>
    </row>
    <row r="171" spans="1:6">
      <c r="A171" t="str">
        <f t="shared" si="9"/>
        <v>JASA種構造用単板積層材ー100E　一級</v>
      </c>
      <c r="B171" s="1" t="s">
        <v>266</v>
      </c>
      <c r="C171" s="41"/>
      <c r="D171" s="18" t="s">
        <v>139</v>
      </c>
      <c r="E171" s="1" t="s">
        <v>57</v>
      </c>
      <c r="F171" s="6">
        <v>25.2</v>
      </c>
    </row>
    <row r="172" spans="1:6">
      <c r="A172" t="str">
        <f t="shared" si="9"/>
        <v>JASA種構造用単板積層材ー100E　二級</v>
      </c>
      <c r="B172" s="1" t="s">
        <v>266</v>
      </c>
      <c r="C172" s="41"/>
      <c r="D172" s="18" t="s">
        <v>139</v>
      </c>
      <c r="E172" s="1" t="s">
        <v>58</v>
      </c>
      <c r="F172" s="6">
        <v>23.4</v>
      </c>
    </row>
    <row r="173" spans="1:6">
      <c r="A173" t="str">
        <f t="shared" si="9"/>
        <v>JASA種構造用単板積層材ー90E　特級</v>
      </c>
      <c r="B173" s="1" t="s">
        <v>266</v>
      </c>
      <c r="C173" s="41"/>
      <c r="D173" s="18" t="s">
        <v>85</v>
      </c>
      <c r="E173" s="1" t="s">
        <v>144</v>
      </c>
      <c r="F173" s="6">
        <v>23.4</v>
      </c>
    </row>
    <row r="174" spans="1:6">
      <c r="A174" t="str">
        <f t="shared" si="9"/>
        <v>JASA種構造用単板積層材ー90E　一級</v>
      </c>
      <c r="B174" s="1" t="s">
        <v>266</v>
      </c>
      <c r="C174" s="41"/>
      <c r="D174" s="18" t="s">
        <v>85</v>
      </c>
      <c r="E174" s="1" t="s">
        <v>57</v>
      </c>
      <c r="F174" s="6">
        <v>22.8</v>
      </c>
    </row>
    <row r="175" spans="1:6">
      <c r="A175" t="str">
        <f t="shared" si="9"/>
        <v>JASA種構造用単板積層材ー90E　二級</v>
      </c>
      <c r="B175" s="1" t="s">
        <v>266</v>
      </c>
      <c r="C175" s="41"/>
      <c r="D175" s="18" t="s">
        <v>85</v>
      </c>
      <c r="E175" s="1" t="s">
        <v>58</v>
      </c>
      <c r="F175" s="6">
        <v>21</v>
      </c>
    </row>
    <row r="176" spans="1:6">
      <c r="A176" t="str">
        <f t="shared" si="9"/>
        <v>JASA種構造用単板積層材ー80E　特級</v>
      </c>
      <c r="B176" s="1" t="s">
        <v>266</v>
      </c>
      <c r="C176" s="41"/>
      <c r="D176" s="18" t="s">
        <v>140</v>
      </c>
      <c r="E176" s="1" t="s">
        <v>144</v>
      </c>
      <c r="F176" s="6">
        <v>21</v>
      </c>
    </row>
    <row r="177" spans="1:6">
      <c r="A177" t="str">
        <f t="shared" si="9"/>
        <v>JASA種構造用単板積層材ー80E　一級</v>
      </c>
      <c r="B177" s="1" t="s">
        <v>266</v>
      </c>
      <c r="C177" s="41"/>
      <c r="D177" s="18" t="s">
        <v>140</v>
      </c>
      <c r="E177" s="1" t="s">
        <v>57</v>
      </c>
      <c r="F177" s="6">
        <v>19.8</v>
      </c>
    </row>
    <row r="178" spans="1:6">
      <c r="A178" t="str">
        <f t="shared" si="9"/>
        <v>JASA種構造用単板積層材ー80E　二級</v>
      </c>
      <c r="B178" s="1" t="s">
        <v>266</v>
      </c>
      <c r="C178" s="41"/>
      <c r="D178" s="18" t="s">
        <v>140</v>
      </c>
      <c r="E178" s="1" t="s">
        <v>58</v>
      </c>
      <c r="F178" s="6">
        <v>18.600000000000001</v>
      </c>
    </row>
    <row r="179" spans="1:6">
      <c r="A179" t="str">
        <f t="shared" si="9"/>
        <v>JASA種構造用単板積層材ー70E　特級</v>
      </c>
      <c r="B179" s="1" t="s">
        <v>266</v>
      </c>
      <c r="C179" s="41"/>
      <c r="D179" s="18" t="s">
        <v>141</v>
      </c>
      <c r="E179" s="1" t="s">
        <v>144</v>
      </c>
      <c r="F179" s="6">
        <v>18</v>
      </c>
    </row>
    <row r="180" spans="1:6">
      <c r="A180" t="str">
        <f t="shared" si="9"/>
        <v>JASA種構造用単板積層材ー70E　一級</v>
      </c>
      <c r="B180" s="1" t="s">
        <v>266</v>
      </c>
      <c r="C180" s="41"/>
      <c r="D180" s="18" t="s">
        <v>141</v>
      </c>
      <c r="E180" s="1" t="s">
        <v>57</v>
      </c>
      <c r="F180" s="6">
        <v>17.399999999999999</v>
      </c>
    </row>
    <row r="181" spans="1:6">
      <c r="A181" t="str">
        <f t="shared" si="9"/>
        <v>JASA種構造用単板積層材ー70E　二級</v>
      </c>
      <c r="B181" s="1" t="s">
        <v>266</v>
      </c>
      <c r="C181" s="41"/>
      <c r="D181" s="18" t="s">
        <v>141</v>
      </c>
      <c r="E181" s="1" t="s">
        <v>58</v>
      </c>
      <c r="F181" s="6">
        <v>16.2</v>
      </c>
    </row>
    <row r="182" spans="1:6">
      <c r="A182" t="str">
        <f t="shared" si="9"/>
        <v>JASA種構造用単板積層材ー60E　特級</v>
      </c>
      <c r="B182" s="1" t="s">
        <v>266</v>
      </c>
      <c r="C182" s="41"/>
      <c r="D182" s="18" t="s">
        <v>142</v>
      </c>
      <c r="E182" s="1" t="s">
        <v>144</v>
      </c>
      <c r="F182" s="6">
        <v>15.6</v>
      </c>
    </row>
    <row r="183" spans="1:6">
      <c r="A183" t="str">
        <f t="shared" si="9"/>
        <v>JASA種構造用単板積層材ー60E　一級</v>
      </c>
      <c r="B183" s="1" t="s">
        <v>266</v>
      </c>
      <c r="C183" s="41"/>
      <c r="D183" s="18" t="s">
        <v>142</v>
      </c>
      <c r="E183" s="1" t="s">
        <v>57</v>
      </c>
      <c r="F183" s="6">
        <v>15</v>
      </c>
    </row>
    <row r="184" spans="1:6">
      <c r="A184" t="str">
        <f t="shared" si="9"/>
        <v>JASA種構造用単板積層材ー60E　二級</v>
      </c>
      <c r="B184" s="1" t="s">
        <v>266</v>
      </c>
      <c r="C184" s="41"/>
      <c r="D184" s="18" t="s">
        <v>142</v>
      </c>
      <c r="E184" s="1" t="s">
        <v>58</v>
      </c>
      <c r="F184" s="6">
        <v>13.8</v>
      </c>
    </row>
    <row r="185" spans="1:6">
      <c r="A185" t="str">
        <f t="shared" si="9"/>
        <v>JASA種構造用単板積層材ー50E　特級</v>
      </c>
      <c r="B185" s="1" t="s">
        <v>266</v>
      </c>
      <c r="C185" s="41"/>
      <c r="D185" s="18" t="s">
        <v>143</v>
      </c>
      <c r="E185" s="1" t="s">
        <v>144</v>
      </c>
      <c r="F185" s="6">
        <v>12.7</v>
      </c>
    </row>
    <row r="186" spans="1:6">
      <c r="A186" t="str">
        <f t="shared" si="9"/>
        <v>JASA種構造用単板積層材ー50E　一級</v>
      </c>
      <c r="B186" s="1" t="s">
        <v>266</v>
      </c>
      <c r="C186" s="41"/>
      <c r="D186" s="18" t="s">
        <v>143</v>
      </c>
      <c r="E186" s="1" t="s">
        <v>57</v>
      </c>
      <c r="F186" s="6">
        <v>12.3</v>
      </c>
    </row>
    <row r="187" spans="1:6">
      <c r="A187" t="str">
        <f t="shared" si="9"/>
        <v>JASA種構造用単板積層材ー50E　二級</v>
      </c>
      <c r="B187" s="1" t="s">
        <v>266</v>
      </c>
      <c r="C187" s="41"/>
      <c r="D187" s="18" t="s">
        <v>143</v>
      </c>
      <c r="E187" s="1" t="s">
        <v>58</v>
      </c>
      <c r="F187" s="6">
        <v>11.1</v>
      </c>
    </row>
  </sheetData>
  <sheetProtection algorithmName="SHA-512" hashValue="ebQfRbRm7BEbBvnNkGBBSZQ3wC1GlPONnoKuKnCMT4HkQJNTK0vfF/QpXqfrx4NI50I28qRBFd1C3zSIQ6no1g==" saltValue="cqn5wJBniRcRwti765UCaw==" spinCount="100000" sheet="1" objects="1" scenarios="1"/>
  <mergeCells count="15">
    <mergeCell ref="D153:F153"/>
    <mergeCell ref="D80:D82"/>
    <mergeCell ref="D83:D85"/>
    <mergeCell ref="C116:F116"/>
    <mergeCell ref="D77:D79"/>
    <mergeCell ref="D86:D88"/>
    <mergeCell ref="C91:F91"/>
    <mergeCell ref="D110:D114"/>
    <mergeCell ref="C92:D92"/>
    <mergeCell ref="D93:D109"/>
    <mergeCell ref="D62:D64"/>
    <mergeCell ref="D68:D70"/>
    <mergeCell ref="D71:D73"/>
    <mergeCell ref="D65:D67"/>
    <mergeCell ref="D74:D76"/>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6"/>
  <sheetViews>
    <sheetView view="pageBreakPreview" topLeftCell="A164" zoomScaleNormal="100" zoomScaleSheetLayoutView="100" workbookViewId="0">
      <selection activeCell="A119" sqref="A119"/>
    </sheetView>
  </sheetViews>
  <sheetFormatPr defaultRowHeight="18.75"/>
  <cols>
    <col min="1" max="1" width="3.25" customWidth="1"/>
    <col min="2" max="2" width="4.125" customWidth="1"/>
    <col min="3" max="3" width="5.875" customWidth="1"/>
    <col min="4" max="4" width="12" customWidth="1"/>
    <col min="5" max="6" width="14.625" customWidth="1"/>
    <col min="7" max="7" width="19.625" style="2" customWidth="1"/>
    <col min="8" max="8" width="14.625" customWidth="1"/>
    <col min="9" max="9" width="19.625" style="295" customWidth="1"/>
    <col min="10" max="10" width="2.125" style="295" customWidth="1"/>
  </cols>
  <sheetData>
    <row r="1" spans="1:9">
      <c r="A1" s="295"/>
      <c r="B1" s="295"/>
      <c r="C1" s="295"/>
      <c r="D1" s="295"/>
      <c r="E1" s="295"/>
      <c r="F1" s="295"/>
      <c r="G1" s="295"/>
      <c r="H1" s="295"/>
      <c r="I1" s="296" t="s">
        <v>587</v>
      </c>
    </row>
    <row r="2" spans="1:9" ht="25.5">
      <c r="A2" s="1006" t="s">
        <v>461</v>
      </c>
      <c r="B2" s="1006"/>
      <c r="C2" s="1006"/>
      <c r="D2" s="1006"/>
      <c r="E2" s="1006"/>
      <c r="F2" s="1006"/>
      <c r="G2" s="1006"/>
      <c r="H2" s="1006"/>
      <c r="I2" s="1006"/>
    </row>
    <row r="3" spans="1:9" ht="15.6" customHeight="1">
      <c r="A3" s="275"/>
      <c r="B3" s="275"/>
      <c r="C3" s="275"/>
      <c r="D3" s="275"/>
      <c r="E3" s="275"/>
      <c r="F3" s="275"/>
      <c r="G3" s="289"/>
      <c r="H3" s="289"/>
      <c r="I3" s="276" t="s">
        <v>460</v>
      </c>
    </row>
    <row r="4" spans="1:9" ht="18" customHeight="1">
      <c r="A4" s="277" t="s">
        <v>387</v>
      </c>
      <c r="B4" s="275"/>
      <c r="C4" s="275"/>
      <c r="D4" s="275"/>
      <c r="E4" s="275"/>
      <c r="F4" s="275"/>
      <c r="G4" s="275"/>
      <c r="H4" s="295"/>
    </row>
    <row r="5" spans="1:9" ht="20.100000000000001" customHeight="1">
      <c r="A5" s="1007" t="s">
        <v>514</v>
      </c>
      <c r="B5" s="1007"/>
      <c r="C5" s="1007"/>
      <c r="D5" s="1007"/>
      <c r="E5" s="1007"/>
      <c r="F5" s="1007"/>
      <c r="G5" s="1007"/>
      <c r="H5" s="1007"/>
      <c r="I5" s="1007"/>
    </row>
    <row r="6" spans="1:9" ht="20.100000000000001" customHeight="1">
      <c r="A6" s="1007"/>
      <c r="B6" s="1007"/>
      <c r="C6" s="1007"/>
      <c r="D6" s="1007"/>
      <c r="E6" s="1007"/>
      <c r="F6" s="1007"/>
      <c r="G6" s="1007"/>
      <c r="H6" s="1007"/>
      <c r="I6" s="1007"/>
    </row>
    <row r="7" spans="1:9" ht="20.100000000000001" customHeight="1">
      <c r="A7" s="1007"/>
      <c r="B7" s="1007"/>
      <c r="C7" s="1007"/>
      <c r="D7" s="1007"/>
      <c r="E7" s="1007"/>
      <c r="F7" s="1007"/>
      <c r="G7" s="1007"/>
      <c r="H7" s="1007"/>
      <c r="I7" s="1007"/>
    </row>
    <row r="8" spans="1:9" ht="20.100000000000001" customHeight="1">
      <c r="A8" s="1007"/>
      <c r="B8" s="1007"/>
      <c r="C8" s="1007"/>
      <c r="D8" s="1007"/>
      <c r="E8" s="1007"/>
      <c r="F8" s="1007"/>
      <c r="G8" s="1007"/>
      <c r="H8" s="1007"/>
      <c r="I8" s="1007"/>
    </row>
    <row r="9" spans="1:9" ht="16.149999999999999" customHeight="1">
      <c r="A9" s="1007"/>
      <c r="B9" s="1007"/>
      <c r="C9" s="1007"/>
      <c r="D9" s="1007"/>
      <c r="E9" s="1007"/>
      <c r="F9" s="1007"/>
      <c r="G9" s="1007"/>
      <c r="H9" s="1007"/>
      <c r="I9" s="1007"/>
    </row>
    <row r="10" spans="1:9" ht="20.100000000000001" customHeight="1">
      <c r="A10" s="278" t="s">
        <v>470</v>
      </c>
      <c r="B10" s="1008" t="s">
        <v>471</v>
      </c>
      <c r="C10" s="1008"/>
      <c r="D10" s="1008"/>
      <c r="E10" s="1008"/>
      <c r="F10" s="1008"/>
      <c r="G10" s="1008"/>
      <c r="H10" s="1008"/>
      <c r="I10" s="1008"/>
    </row>
    <row r="11" spans="1:9" ht="30" customHeight="1">
      <c r="A11" s="279"/>
      <c r="B11" s="1008"/>
      <c r="C11" s="1008"/>
      <c r="D11" s="1008"/>
      <c r="E11" s="1008"/>
      <c r="F11" s="1008"/>
      <c r="G11" s="1008"/>
      <c r="H11" s="1008"/>
      <c r="I11" s="1008"/>
    </row>
    <row r="12" spans="1:9" ht="15" customHeight="1">
      <c r="A12" s="279"/>
      <c r="B12" s="279"/>
      <c r="C12" s="279"/>
      <c r="D12" s="279"/>
      <c r="E12" s="279"/>
      <c r="F12" s="279"/>
      <c r="G12" s="279"/>
      <c r="H12" s="295"/>
    </row>
    <row r="13" spans="1:9">
      <c r="A13" s="277" t="s">
        <v>149</v>
      </c>
      <c r="B13" s="295"/>
      <c r="C13" s="295"/>
      <c r="D13" s="295"/>
      <c r="E13" s="295"/>
      <c r="F13" s="295"/>
      <c r="G13" s="297"/>
      <c r="H13" s="295"/>
    </row>
    <row r="14" spans="1:9">
      <c r="A14" s="277" t="s">
        <v>185</v>
      </c>
      <c r="B14" s="295"/>
      <c r="C14" s="295"/>
      <c r="D14" s="295"/>
      <c r="E14" s="295"/>
      <c r="F14" s="295"/>
      <c r="G14" s="297"/>
      <c r="H14" s="295"/>
    </row>
    <row r="15" spans="1:9">
      <c r="A15" s="277"/>
      <c r="B15" s="295" t="s">
        <v>404</v>
      </c>
      <c r="C15" s="295"/>
      <c r="D15" s="295"/>
      <c r="E15" s="295"/>
      <c r="F15" s="295"/>
      <c r="G15" s="297"/>
      <c r="H15" s="295"/>
    </row>
    <row r="16" spans="1:9" ht="21">
      <c r="A16" s="295"/>
      <c r="B16" s="281" t="s">
        <v>515</v>
      </c>
      <c r="C16" s="295"/>
      <c r="D16" s="295"/>
      <c r="E16" s="295"/>
      <c r="F16" s="295"/>
      <c r="G16" s="297"/>
      <c r="H16" s="295"/>
    </row>
    <row r="17" spans="1:11" ht="19.5" thickBot="1">
      <c r="A17" s="295"/>
      <c r="B17" s="1005" t="s">
        <v>186</v>
      </c>
      <c r="C17" s="1005"/>
      <c r="D17" s="1005"/>
      <c r="E17" s="1005"/>
      <c r="F17" s="1005"/>
      <c r="G17" s="1005"/>
      <c r="H17" s="1005"/>
      <c r="I17" s="1005"/>
    </row>
    <row r="18" spans="1:11" ht="19.899999999999999" customHeight="1" thickBot="1">
      <c r="A18" s="295"/>
      <c r="B18" s="1052" t="s">
        <v>146</v>
      </c>
      <c r="C18" s="1053"/>
      <c r="D18" s="1054"/>
      <c r="E18" s="954" t="s">
        <v>147</v>
      </c>
      <c r="F18" s="955"/>
      <c r="G18" s="955"/>
      <c r="H18" s="955"/>
      <c r="I18" s="956"/>
    </row>
    <row r="19" spans="1:11" ht="20.100000000000001" customHeight="1">
      <c r="A19" s="295"/>
      <c r="B19" s="1058" t="s">
        <v>437</v>
      </c>
      <c r="C19" s="976"/>
      <c r="D19" s="977"/>
      <c r="E19" s="1018" t="s">
        <v>516</v>
      </c>
      <c r="F19" s="1019"/>
      <c r="G19" s="1019"/>
      <c r="H19" s="1019"/>
      <c r="I19" s="1020"/>
    </row>
    <row r="20" spans="1:11" s="12" customFormat="1" ht="34.9" customHeight="1">
      <c r="A20" s="299"/>
      <c r="B20" s="1059" t="s">
        <v>438</v>
      </c>
      <c r="C20" s="964"/>
      <c r="D20" s="1060"/>
      <c r="E20" s="951" t="s">
        <v>517</v>
      </c>
      <c r="F20" s="952"/>
      <c r="G20" s="952"/>
      <c r="H20" s="952"/>
      <c r="I20" s="953"/>
      <c r="J20" s="299"/>
    </row>
    <row r="21" spans="1:11" ht="20.100000000000001" customHeight="1">
      <c r="A21" s="295"/>
      <c r="B21" s="1015" t="s">
        <v>518</v>
      </c>
      <c r="C21" s="1016"/>
      <c r="D21" s="1067"/>
      <c r="E21" s="1015" t="s">
        <v>519</v>
      </c>
      <c r="F21" s="1016"/>
      <c r="G21" s="1016"/>
      <c r="H21" s="1016"/>
      <c r="I21" s="1017"/>
    </row>
    <row r="22" spans="1:11" ht="54.95" customHeight="1">
      <c r="A22" s="295"/>
      <c r="B22" s="951" t="s">
        <v>520</v>
      </c>
      <c r="C22" s="952"/>
      <c r="D22" s="1056"/>
      <c r="E22" s="1012" t="s">
        <v>521</v>
      </c>
      <c r="F22" s="1013"/>
      <c r="G22" s="1013"/>
      <c r="H22" s="1013"/>
      <c r="I22" s="1014"/>
    </row>
    <row r="23" spans="1:11" ht="55.5" customHeight="1">
      <c r="A23" s="295"/>
      <c r="B23" s="951" t="s">
        <v>439</v>
      </c>
      <c r="C23" s="952"/>
      <c r="D23" s="1056"/>
      <c r="E23" s="951" t="s">
        <v>403</v>
      </c>
      <c r="F23" s="952"/>
      <c r="G23" s="952"/>
      <c r="H23" s="952"/>
      <c r="I23" s="953"/>
    </row>
    <row r="24" spans="1:11" ht="36" customHeight="1">
      <c r="A24" s="295"/>
      <c r="B24" s="963" t="s">
        <v>522</v>
      </c>
      <c r="C24" s="964"/>
      <c r="D24" s="1060"/>
      <c r="E24" s="951" t="s">
        <v>431</v>
      </c>
      <c r="F24" s="952"/>
      <c r="G24" s="952"/>
      <c r="H24" s="952"/>
      <c r="I24" s="953"/>
    </row>
    <row r="25" spans="1:11" ht="23.25" customHeight="1" thickBot="1">
      <c r="A25" s="295"/>
      <c r="B25" s="1071" t="s">
        <v>523</v>
      </c>
      <c r="C25" s="1010"/>
      <c r="D25" s="1072"/>
      <c r="E25" s="1009" t="s">
        <v>145</v>
      </c>
      <c r="F25" s="1010"/>
      <c r="G25" s="1010"/>
      <c r="H25" s="1010"/>
      <c r="I25" s="1011"/>
    </row>
    <row r="26" spans="1:11" ht="15" customHeight="1">
      <c r="A26" s="295"/>
      <c r="B26" s="295"/>
      <c r="C26" s="298"/>
      <c r="D26" s="299"/>
      <c r="E26" s="295"/>
      <c r="F26" s="295"/>
      <c r="G26" s="300"/>
      <c r="H26" s="295"/>
      <c r="I26" s="299"/>
    </row>
    <row r="27" spans="1:11" ht="23.25" customHeight="1">
      <c r="A27" s="277" t="s">
        <v>440</v>
      </c>
      <c r="B27" s="295"/>
      <c r="C27" s="298"/>
      <c r="D27" s="299"/>
      <c r="E27" s="295"/>
      <c r="F27" s="295"/>
      <c r="G27" s="300"/>
      <c r="H27" s="295"/>
      <c r="I27" s="299"/>
    </row>
    <row r="28" spans="1:11" ht="23.25" customHeight="1">
      <c r="A28" s="295" t="s">
        <v>148</v>
      </c>
      <c r="B28" s="295" t="s">
        <v>156</v>
      </c>
      <c r="C28" s="298"/>
      <c r="D28" s="299"/>
      <c r="E28" s="295"/>
      <c r="F28" s="295"/>
      <c r="G28" s="300"/>
      <c r="H28" s="295"/>
      <c r="I28" s="299"/>
    </row>
    <row r="29" spans="1:11" ht="23.25" customHeight="1">
      <c r="A29" s="295" t="s">
        <v>150</v>
      </c>
      <c r="B29" s="295"/>
      <c r="C29" s="298"/>
      <c r="D29" s="299"/>
      <c r="E29" s="295"/>
      <c r="F29" s="295"/>
      <c r="G29" s="300"/>
      <c r="H29" s="295"/>
      <c r="I29" s="299"/>
    </row>
    <row r="30" spans="1:11" ht="23.25" customHeight="1">
      <c r="A30" s="295"/>
      <c r="B30" s="295" t="s">
        <v>475</v>
      </c>
      <c r="C30" s="298"/>
      <c r="D30" s="299"/>
      <c r="E30" s="295"/>
      <c r="F30" s="295"/>
      <c r="G30" s="300"/>
      <c r="H30" s="300"/>
      <c r="I30" s="300"/>
      <c r="K30" s="12"/>
    </row>
    <row r="31" spans="1:11" ht="23.25" customHeight="1">
      <c r="A31" s="295"/>
      <c r="B31" s="295" t="s">
        <v>524</v>
      </c>
      <c r="C31" s="298"/>
      <c r="D31" s="299"/>
      <c r="E31" s="295"/>
      <c r="F31" s="295"/>
      <c r="G31" s="300"/>
      <c r="H31" s="295"/>
      <c r="I31" s="299"/>
    </row>
    <row r="32" spans="1:11" ht="45" customHeight="1">
      <c r="A32" s="295"/>
      <c r="B32" s="961" t="s">
        <v>525</v>
      </c>
      <c r="C32" s="961"/>
      <c r="D32" s="961"/>
      <c r="E32" s="961"/>
      <c r="F32" s="961"/>
      <c r="G32" s="961"/>
      <c r="H32" s="961"/>
      <c r="I32" s="961"/>
      <c r="J32" s="961"/>
    </row>
    <row r="33" spans="1:9" ht="23.25" customHeight="1">
      <c r="A33" s="295"/>
      <c r="B33" s="295"/>
      <c r="C33" s="298"/>
      <c r="D33" s="299"/>
      <c r="E33" s="295"/>
      <c r="F33" s="295"/>
      <c r="G33" s="300"/>
      <c r="H33" s="295"/>
      <c r="I33" s="299"/>
    </row>
    <row r="34" spans="1:9" ht="23.25" customHeight="1">
      <c r="A34" s="295"/>
      <c r="B34" s="295"/>
      <c r="C34" s="298"/>
      <c r="D34" s="299"/>
      <c r="E34" s="295"/>
      <c r="F34" s="295"/>
      <c r="G34" s="300"/>
      <c r="H34" s="295"/>
      <c r="I34" s="299"/>
    </row>
    <row r="35" spans="1:9" ht="23.25" customHeight="1">
      <c r="A35" s="295"/>
      <c r="B35" s="295"/>
      <c r="C35" s="298"/>
      <c r="D35" s="299"/>
      <c r="E35" s="295"/>
      <c r="F35" s="295"/>
      <c r="G35" s="300"/>
      <c r="H35" s="295"/>
      <c r="I35" s="299"/>
    </row>
    <row r="36" spans="1:9" ht="23.25" customHeight="1">
      <c r="A36" s="295"/>
      <c r="B36" s="295"/>
      <c r="C36" s="298"/>
      <c r="D36" s="299"/>
      <c r="E36" s="295"/>
      <c r="F36" s="295"/>
      <c r="G36" s="300"/>
      <c r="H36" s="295"/>
      <c r="I36" s="299"/>
    </row>
    <row r="37" spans="1:9" ht="23.25" customHeight="1">
      <c r="A37" s="295"/>
      <c r="B37" s="295"/>
      <c r="C37" s="298"/>
      <c r="D37" s="299"/>
      <c r="E37" s="295"/>
      <c r="F37" s="295"/>
      <c r="G37" s="300"/>
      <c r="H37" s="295"/>
      <c r="I37" s="299"/>
    </row>
    <row r="38" spans="1:9" ht="23.25" customHeight="1">
      <c r="A38" s="295"/>
      <c r="B38" s="295"/>
      <c r="C38" s="298"/>
      <c r="D38" s="299"/>
      <c r="E38" s="295"/>
      <c r="F38" s="295"/>
      <c r="G38" s="300"/>
      <c r="H38" s="295"/>
      <c r="I38" s="299"/>
    </row>
    <row r="39" spans="1:9" ht="23.25" customHeight="1">
      <c r="A39" s="295"/>
      <c r="B39" s="295"/>
      <c r="C39" s="298"/>
      <c r="D39" s="299"/>
      <c r="E39" s="295"/>
      <c r="F39" s="295"/>
      <c r="G39" s="300"/>
      <c r="H39" s="295"/>
      <c r="I39" s="299"/>
    </row>
    <row r="40" spans="1:9" ht="23.25" customHeight="1">
      <c r="A40" s="295"/>
      <c r="B40" s="295"/>
      <c r="C40" s="298"/>
      <c r="D40" s="299"/>
      <c r="E40" s="295"/>
      <c r="F40" s="295"/>
      <c r="G40" s="300"/>
      <c r="H40" s="295"/>
      <c r="I40" s="299"/>
    </row>
    <row r="41" spans="1:9" ht="23.25" customHeight="1">
      <c r="A41" s="295"/>
      <c r="B41" s="295"/>
      <c r="C41" s="298"/>
      <c r="D41" s="299"/>
      <c r="E41" s="295"/>
      <c r="F41" s="295"/>
      <c r="G41" s="300"/>
      <c r="H41" s="295"/>
      <c r="I41" s="299"/>
    </row>
    <row r="42" spans="1:9" ht="23.25" customHeight="1">
      <c r="A42" s="295" t="s">
        <v>151</v>
      </c>
      <c r="B42" s="295"/>
      <c r="C42" s="298"/>
      <c r="D42" s="299"/>
      <c r="E42" s="295"/>
      <c r="F42" s="295"/>
      <c r="G42" s="300"/>
      <c r="H42" s="295"/>
      <c r="I42" s="299"/>
    </row>
    <row r="43" spans="1:9" ht="23.25" customHeight="1">
      <c r="A43" s="295"/>
      <c r="B43" s="295" t="s">
        <v>526</v>
      </c>
      <c r="C43" s="298"/>
      <c r="D43" s="299"/>
      <c r="E43" s="295"/>
      <c r="F43" s="295"/>
      <c r="G43" s="300"/>
      <c r="H43" s="295"/>
      <c r="I43" s="299"/>
    </row>
    <row r="44" spans="1:9" ht="20.100000000000001" customHeight="1">
      <c r="A44" s="295"/>
      <c r="B44" s="295"/>
      <c r="C44" s="298"/>
      <c r="D44" s="299"/>
      <c r="E44" s="295"/>
      <c r="F44" s="295"/>
      <c r="G44" s="300"/>
      <c r="H44" s="295"/>
      <c r="I44" s="299"/>
    </row>
    <row r="45" spans="1:9" ht="20.100000000000001" customHeight="1">
      <c r="A45" s="295"/>
      <c r="B45" s="295"/>
      <c r="C45" s="298"/>
      <c r="D45" s="299"/>
      <c r="E45" s="295"/>
      <c r="F45" s="295"/>
      <c r="G45" s="300"/>
      <c r="H45" s="295"/>
      <c r="I45" s="299"/>
    </row>
    <row r="46" spans="1:9" ht="20.100000000000001" customHeight="1">
      <c r="A46" s="295"/>
      <c r="B46" s="295"/>
      <c r="C46" s="298"/>
      <c r="D46" s="299"/>
      <c r="E46" s="295"/>
      <c r="F46" s="295"/>
      <c r="G46" s="300"/>
      <c r="H46" s="295"/>
      <c r="I46" s="299"/>
    </row>
    <row r="47" spans="1:9" ht="20.100000000000001" customHeight="1">
      <c r="A47" s="295"/>
      <c r="B47" s="295"/>
      <c r="C47" s="298"/>
      <c r="D47" s="299"/>
      <c r="E47" s="295"/>
      <c r="F47" s="295"/>
      <c r="G47" s="300"/>
      <c r="H47" s="295"/>
      <c r="I47" s="299"/>
    </row>
    <row r="48" spans="1:9" ht="20.100000000000001" customHeight="1">
      <c r="A48" s="295"/>
      <c r="B48" s="295"/>
      <c r="C48" s="298"/>
      <c r="D48" s="299"/>
      <c r="E48" s="295"/>
      <c r="F48" s="295"/>
      <c r="G48" s="300"/>
      <c r="H48" s="295"/>
      <c r="I48" s="299"/>
    </row>
    <row r="49" spans="1:11" ht="23.25" customHeight="1">
      <c r="A49" s="295"/>
      <c r="B49" s="295"/>
      <c r="C49" s="298"/>
      <c r="D49" s="299"/>
      <c r="E49" s="295"/>
      <c r="F49" s="295"/>
      <c r="G49" s="300"/>
      <c r="H49" s="295"/>
      <c r="I49" s="299"/>
    </row>
    <row r="50" spans="1:11" ht="15.6" customHeight="1">
      <c r="A50" s="302"/>
      <c r="B50" s="299"/>
      <c r="C50" s="295"/>
      <c r="D50" s="299"/>
      <c r="E50" s="300"/>
      <c r="F50" s="300"/>
      <c r="G50" s="299"/>
      <c r="H50" s="295"/>
    </row>
    <row r="51" spans="1:11" ht="19.5" thickBot="1">
      <c r="A51" s="295"/>
      <c r="B51" s="947" t="s">
        <v>187</v>
      </c>
      <c r="C51" s="947"/>
      <c r="D51" s="947"/>
      <c r="E51" s="947"/>
      <c r="F51" s="947"/>
      <c r="G51" s="947"/>
      <c r="H51" s="947"/>
      <c r="I51" s="947"/>
    </row>
    <row r="52" spans="1:11" ht="25.5" customHeight="1" thickBot="1">
      <c r="A52" s="295"/>
      <c r="B52" s="1052" t="s">
        <v>146</v>
      </c>
      <c r="C52" s="1053"/>
      <c r="D52" s="1054"/>
      <c r="E52" s="957" t="s">
        <v>155</v>
      </c>
      <c r="F52" s="958"/>
      <c r="G52" s="958"/>
      <c r="H52" s="958"/>
      <c r="I52" s="959"/>
    </row>
    <row r="53" spans="1:11" ht="20.100000000000001" customHeight="1">
      <c r="A53" s="295"/>
      <c r="B53" s="1058" t="s">
        <v>441</v>
      </c>
      <c r="C53" s="976"/>
      <c r="D53" s="977"/>
      <c r="E53" s="1049" t="s">
        <v>152</v>
      </c>
      <c r="F53" s="1050"/>
      <c r="G53" s="1050"/>
      <c r="H53" s="1050"/>
      <c r="I53" s="1051"/>
    </row>
    <row r="54" spans="1:11" ht="20.100000000000001" customHeight="1">
      <c r="A54" s="295"/>
      <c r="B54" s="1058" t="s">
        <v>442</v>
      </c>
      <c r="C54" s="976"/>
      <c r="D54" s="977"/>
      <c r="E54" s="1015" t="s">
        <v>153</v>
      </c>
      <c r="F54" s="1016"/>
      <c r="G54" s="1016"/>
      <c r="H54" s="1016"/>
      <c r="I54" s="1017"/>
    </row>
    <row r="55" spans="1:11" ht="20.100000000000001" customHeight="1">
      <c r="A55" s="295"/>
      <c r="B55" s="1058" t="s">
        <v>443</v>
      </c>
      <c r="C55" s="976"/>
      <c r="D55" s="977"/>
      <c r="E55" s="1015" t="s">
        <v>154</v>
      </c>
      <c r="F55" s="1016"/>
      <c r="G55" s="1016"/>
      <c r="H55" s="1016"/>
      <c r="I55" s="1017"/>
    </row>
    <row r="56" spans="1:11" ht="20.100000000000001" customHeight="1">
      <c r="A56" s="295"/>
      <c r="B56" s="948" t="s">
        <v>508</v>
      </c>
      <c r="C56" s="949"/>
      <c r="D56" s="950"/>
      <c r="E56" s="951" t="s">
        <v>527</v>
      </c>
      <c r="F56" s="952"/>
      <c r="G56" s="952"/>
      <c r="H56" s="952"/>
      <c r="I56" s="953"/>
      <c r="K56" s="12"/>
    </row>
    <row r="57" spans="1:11" ht="20.100000000000001" customHeight="1">
      <c r="A57" s="295"/>
      <c r="B57" s="948" t="s">
        <v>509</v>
      </c>
      <c r="C57" s="949"/>
      <c r="D57" s="950"/>
      <c r="E57" s="951" t="s">
        <v>528</v>
      </c>
      <c r="F57" s="952"/>
      <c r="G57" s="952"/>
      <c r="H57" s="952"/>
      <c r="I57" s="953"/>
      <c r="K57" s="12"/>
    </row>
    <row r="58" spans="1:11" ht="20.100000000000001" customHeight="1">
      <c r="A58" s="295"/>
      <c r="B58" s="948" t="s">
        <v>510</v>
      </c>
      <c r="C58" s="949"/>
      <c r="D58" s="950"/>
      <c r="E58" s="951" t="s">
        <v>529</v>
      </c>
      <c r="F58" s="952"/>
      <c r="G58" s="952"/>
      <c r="H58" s="952"/>
      <c r="I58" s="953"/>
      <c r="K58" s="12"/>
    </row>
    <row r="59" spans="1:11" ht="20.100000000000001" customHeight="1">
      <c r="A59" s="295"/>
      <c r="B59" s="948" t="s">
        <v>511</v>
      </c>
      <c r="C59" s="949"/>
      <c r="D59" s="950"/>
      <c r="E59" s="951" t="s">
        <v>530</v>
      </c>
      <c r="F59" s="952"/>
      <c r="G59" s="952"/>
      <c r="H59" s="952"/>
      <c r="I59" s="953"/>
      <c r="K59" s="12"/>
    </row>
    <row r="60" spans="1:11" ht="20.100000000000001" customHeight="1">
      <c r="A60" s="295"/>
      <c r="B60" s="948" t="s">
        <v>512</v>
      </c>
      <c r="C60" s="949"/>
      <c r="D60" s="950"/>
      <c r="E60" s="951" t="s">
        <v>531</v>
      </c>
      <c r="F60" s="952"/>
      <c r="G60" s="952"/>
      <c r="H60" s="952"/>
      <c r="I60" s="953"/>
      <c r="K60" s="12"/>
    </row>
    <row r="61" spans="1:11" ht="20.100000000000001" customHeight="1">
      <c r="A61" s="295"/>
      <c r="B61" s="948" t="s">
        <v>513</v>
      </c>
      <c r="C61" s="949"/>
      <c r="D61" s="950"/>
      <c r="E61" s="951" t="s">
        <v>532</v>
      </c>
      <c r="F61" s="952"/>
      <c r="G61" s="952"/>
      <c r="H61" s="952"/>
      <c r="I61" s="953"/>
      <c r="K61" s="12"/>
    </row>
    <row r="62" spans="1:11" ht="20.100000000000001" customHeight="1">
      <c r="A62" s="295"/>
      <c r="B62" s="948" t="s">
        <v>444</v>
      </c>
      <c r="C62" s="949"/>
      <c r="D62" s="950"/>
      <c r="E62" s="951" t="s">
        <v>533</v>
      </c>
      <c r="F62" s="952"/>
      <c r="G62" s="952"/>
      <c r="H62" s="952"/>
      <c r="I62" s="953"/>
    </row>
    <row r="63" spans="1:11" ht="20.100000000000001" customHeight="1">
      <c r="A63" s="295"/>
      <c r="B63" s="948" t="s">
        <v>445</v>
      </c>
      <c r="C63" s="949"/>
      <c r="D63" s="950"/>
      <c r="E63" s="951" t="s">
        <v>534</v>
      </c>
      <c r="F63" s="952"/>
      <c r="G63" s="952"/>
      <c r="H63" s="952"/>
      <c r="I63" s="953"/>
    </row>
    <row r="64" spans="1:11" ht="20.100000000000001" customHeight="1">
      <c r="A64" s="295"/>
      <c r="B64" s="948" t="s">
        <v>446</v>
      </c>
      <c r="C64" s="949"/>
      <c r="D64" s="950"/>
      <c r="E64" s="951" t="s">
        <v>535</v>
      </c>
      <c r="F64" s="952"/>
      <c r="G64" s="952"/>
      <c r="H64" s="952"/>
      <c r="I64" s="953"/>
    </row>
    <row r="65" spans="1:9" ht="20.100000000000001" customHeight="1">
      <c r="A65" s="295"/>
      <c r="B65" s="948" t="s">
        <v>447</v>
      </c>
      <c r="C65" s="949"/>
      <c r="D65" s="950"/>
      <c r="E65" s="951" t="s">
        <v>536</v>
      </c>
      <c r="F65" s="952"/>
      <c r="G65" s="952"/>
      <c r="H65" s="952"/>
      <c r="I65" s="953"/>
    </row>
    <row r="66" spans="1:9" ht="20.100000000000001" customHeight="1" thickBot="1">
      <c r="A66" s="295"/>
      <c r="B66" s="1074" t="s">
        <v>448</v>
      </c>
      <c r="C66" s="1025"/>
      <c r="D66" s="1075"/>
      <c r="E66" s="1021" t="s">
        <v>537</v>
      </c>
      <c r="F66" s="1022"/>
      <c r="G66" s="1022"/>
      <c r="H66" s="1022"/>
      <c r="I66" s="1023"/>
    </row>
    <row r="67" spans="1:9" ht="16.899999999999999" customHeight="1">
      <c r="A67" s="295"/>
      <c r="B67" s="295"/>
      <c r="C67" s="298"/>
      <c r="D67" s="299"/>
      <c r="E67" s="295"/>
      <c r="F67" s="295"/>
      <c r="G67" s="300"/>
      <c r="H67" s="295"/>
      <c r="I67" s="299"/>
    </row>
    <row r="68" spans="1:9" ht="23.25" customHeight="1">
      <c r="A68" s="277" t="s">
        <v>353</v>
      </c>
      <c r="B68" s="295"/>
      <c r="C68" s="298"/>
      <c r="D68" s="299"/>
      <c r="E68" s="295"/>
      <c r="F68" s="295"/>
      <c r="G68" s="300"/>
      <c r="H68" s="295"/>
      <c r="I68" s="299"/>
    </row>
    <row r="69" spans="1:9" ht="23.25" customHeight="1">
      <c r="A69" s="295" t="s">
        <v>148</v>
      </c>
      <c r="B69" s="295" t="s">
        <v>156</v>
      </c>
      <c r="C69" s="298"/>
      <c r="D69" s="299"/>
      <c r="E69" s="295"/>
      <c r="F69" s="295"/>
      <c r="G69" s="300"/>
      <c r="H69" s="295"/>
      <c r="I69" s="299"/>
    </row>
    <row r="70" spans="1:9" ht="23.25" customHeight="1">
      <c r="A70" s="295" t="s">
        <v>465</v>
      </c>
      <c r="B70" s="295"/>
      <c r="C70" s="298"/>
      <c r="D70" s="299"/>
      <c r="E70" s="295"/>
      <c r="F70" s="295"/>
      <c r="G70" s="300"/>
      <c r="H70" s="295"/>
      <c r="I70" s="299"/>
    </row>
    <row r="71" spans="1:9" ht="23.25" customHeight="1">
      <c r="A71" s="295" t="s">
        <v>148</v>
      </c>
      <c r="B71" s="295" t="s">
        <v>190</v>
      </c>
      <c r="C71" s="298"/>
      <c r="D71" s="299"/>
      <c r="E71" s="295"/>
      <c r="F71" s="295"/>
      <c r="G71" s="300"/>
      <c r="H71" s="295"/>
      <c r="I71" s="299"/>
    </row>
    <row r="72" spans="1:9" ht="23.25" customHeight="1">
      <c r="A72" s="295"/>
      <c r="B72" s="302" t="s">
        <v>469</v>
      </c>
      <c r="C72" s="298"/>
      <c r="D72" s="299"/>
      <c r="E72" s="295"/>
      <c r="F72" s="295"/>
      <c r="G72" s="300"/>
      <c r="H72" s="295"/>
      <c r="I72" s="299"/>
    </row>
    <row r="73" spans="1:9" ht="18.95" customHeight="1">
      <c r="A73" s="961" t="s">
        <v>495</v>
      </c>
      <c r="B73" s="961"/>
      <c r="C73" s="961"/>
      <c r="D73" s="961"/>
      <c r="E73" s="961"/>
      <c r="F73" s="961"/>
      <c r="G73" s="961"/>
      <c r="H73" s="961"/>
      <c r="I73" s="961"/>
    </row>
    <row r="74" spans="1:9" ht="18.95" customHeight="1">
      <c r="A74" s="961"/>
      <c r="B74" s="961"/>
      <c r="C74" s="961"/>
      <c r="D74" s="961"/>
      <c r="E74" s="961"/>
      <c r="F74" s="961"/>
      <c r="G74" s="961"/>
      <c r="H74" s="961"/>
      <c r="I74" s="961"/>
    </row>
    <row r="75" spans="1:9" ht="23.25" customHeight="1">
      <c r="A75" s="295" t="s">
        <v>148</v>
      </c>
      <c r="B75" s="302" t="s">
        <v>462</v>
      </c>
      <c r="C75" s="298"/>
      <c r="D75" s="299"/>
      <c r="E75" s="295"/>
      <c r="F75" s="295"/>
      <c r="G75" s="300"/>
      <c r="H75" s="295"/>
      <c r="I75" s="299"/>
    </row>
    <row r="76" spans="1:9" ht="19.5" thickBot="1">
      <c r="A76" s="295"/>
      <c r="B76" s="1005" t="s">
        <v>188</v>
      </c>
      <c r="C76" s="1005"/>
      <c r="D76" s="1005"/>
      <c r="E76" s="1005"/>
      <c r="F76" s="1005"/>
      <c r="G76" s="1005"/>
      <c r="H76" s="1005"/>
      <c r="I76" s="1005"/>
    </row>
    <row r="77" spans="1:9" ht="63.6" customHeight="1" thickBot="1">
      <c r="A77" s="295"/>
      <c r="B77" s="1061"/>
      <c r="C77" s="1062"/>
      <c r="D77" s="1062"/>
      <c r="E77" s="303" t="s">
        <v>538</v>
      </c>
      <c r="F77" s="304" t="s">
        <v>539</v>
      </c>
      <c r="G77" s="1073" t="s">
        <v>49</v>
      </c>
      <c r="H77" s="995"/>
      <c r="I77" s="996"/>
    </row>
    <row r="78" spans="1:9" ht="20.100000000000001" customHeight="1">
      <c r="A78" s="295"/>
      <c r="B78" s="1063" t="s">
        <v>6</v>
      </c>
      <c r="C78" s="1064"/>
      <c r="D78" s="305" t="s">
        <v>7</v>
      </c>
      <c r="E78" s="306">
        <v>0</v>
      </c>
      <c r="F78" s="307">
        <v>0</v>
      </c>
      <c r="G78" s="1055" t="s">
        <v>48</v>
      </c>
      <c r="H78" s="1035"/>
      <c r="I78" s="1036"/>
    </row>
    <row r="79" spans="1:9" ht="20.100000000000001" customHeight="1">
      <c r="A79" s="295"/>
      <c r="B79" s="1065"/>
      <c r="C79" s="1066"/>
      <c r="D79" s="1057" t="s">
        <v>10</v>
      </c>
      <c r="E79" s="308">
        <v>200</v>
      </c>
      <c r="F79" s="309">
        <f>E79*1.3</f>
        <v>260</v>
      </c>
      <c r="G79" s="1068" t="s">
        <v>50</v>
      </c>
      <c r="H79" s="1069"/>
      <c r="I79" s="1070"/>
    </row>
    <row r="80" spans="1:9" ht="66.599999999999994" customHeight="1">
      <c r="A80" s="295"/>
      <c r="B80" s="1065"/>
      <c r="C80" s="1066"/>
      <c r="D80" s="1057"/>
      <c r="E80" s="280" t="s">
        <v>191</v>
      </c>
      <c r="F80" s="310" t="s">
        <v>192</v>
      </c>
      <c r="G80" s="951" t="s">
        <v>414</v>
      </c>
      <c r="H80" s="952"/>
      <c r="I80" s="953"/>
    </row>
    <row r="81" spans="1:9" ht="38.25" customHeight="1">
      <c r="A81" s="295"/>
      <c r="B81" s="1029" t="s">
        <v>17</v>
      </c>
      <c r="C81" s="1030"/>
      <c r="D81" s="311" t="s">
        <v>11</v>
      </c>
      <c r="E81" s="312">
        <v>990</v>
      </c>
      <c r="F81" s="313">
        <v>1300</v>
      </c>
      <c r="G81" s="951" t="s">
        <v>540</v>
      </c>
      <c r="H81" s="952"/>
      <c r="I81" s="953"/>
    </row>
    <row r="82" spans="1:9" ht="20.100000000000001" customHeight="1">
      <c r="A82" s="295"/>
      <c r="B82" s="1029"/>
      <c r="C82" s="1030"/>
      <c r="D82" s="314" t="s">
        <v>12</v>
      </c>
      <c r="E82" s="315">
        <v>740</v>
      </c>
      <c r="F82" s="313">
        <v>1000</v>
      </c>
      <c r="G82" s="951" t="s">
        <v>541</v>
      </c>
      <c r="H82" s="952"/>
      <c r="I82" s="953"/>
    </row>
    <row r="83" spans="1:9" ht="39" customHeight="1">
      <c r="A83" s="295"/>
      <c r="B83" s="1029"/>
      <c r="C83" s="1030"/>
      <c r="D83" s="314" t="s">
        <v>13</v>
      </c>
      <c r="E83" s="315">
        <v>500</v>
      </c>
      <c r="F83" s="313">
        <v>650</v>
      </c>
      <c r="G83" s="951" t="s">
        <v>542</v>
      </c>
      <c r="H83" s="952"/>
      <c r="I83" s="953"/>
    </row>
    <row r="84" spans="1:9" ht="34.9" customHeight="1">
      <c r="A84" s="295"/>
      <c r="B84" s="1029" t="s">
        <v>18</v>
      </c>
      <c r="C84" s="1030"/>
      <c r="D84" s="1057" t="s">
        <v>19</v>
      </c>
      <c r="E84" s="308">
        <v>100</v>
      </c>
      <c r="F84" s="309">
        <v>100</v>
      </c>
      <c r="G84" s="1068" t="s">
        <v>432</v>
      </c>
      <c r="H84" s="1069"/>
      <c r="I84" s="1070"/>
    </row>
    <row r="85" spans="1:9" ht="20.100000000000001" customHeight="1">
      <c r="A85" s="295"/>
      <c r="B85" s="1029"/>
      <c r="C85" s="1030"/>
      <c r="D85" s="1057"/>
      <c r="E85" s="316" t="s">
        <v>193</v>
      </c>
      <c r="F85" s="310" t="s">
        <v>193</v>
      </c>
      <c r="G85" s="951" t="s">
        <v>184</v>
      </c>
      <c r="H85" s="952"/>
      <c r="I85" s="953"/>
    </row>
    <row r="86" spans="1:9" ht="20.100000000000001" customHeight="1">
      <c r="A86" s="295"/>
      <c r="B86" s="1076" t="s">
        <v>23</v>
      </c>
      <c r="C86" s="1077"/>
      <c r="D86" s="314"/>
      <c r="E86" s="315">
        <v>610</v>
      </c>
      <c r="F86" s="313">
        <v>610</v>
      </c>
      <c r="G86" s="951" t="s">
        <v>543</v>
      </c>
      <c r="H86" s="952"/>
      <c r="I86" s="953"/>
    </row>
    <row r="87" spans="1:9" ht="20.100000000000001" customHeight="1" thickBot="1">
      <c r="A87" s="295"/>
      <c r="B87" s="1078" t="s">
        <v>24</v>
      </c>
      <c r="C87" s="1079"/>
      <c r="D87" s="317"/>
      <c r="E87" s="318">
        <v>600</v>
      </c>
      <c r="F87" s="319">
        <v>600</v>
      </c>
      <c r="G87" s="1024" t="s">
        <v>51</v>
      </c>
      <c r="H87" s="1025"/>
      <c r="I87" s="1026"/>
    </row>
    <row r="88" spans="1:9">
      <c r="A88" s="295"/>
      <c r="B88" s="302" t="s">
        <v>52</v>
      </c>
      <c r="C88" s="302"/>
      <c r="D88" s="297"/>
      <c r="E88" s="320"/>
      <c r="F88" s="320"/>
      <c r="G88" s="321"/>
      <c r="H88" s="295"/>
      <c r="I88" s="299"/>
    </row>
    <row r="89" spans="1:9">
      <c r="A89" s="295"/>
      <c r="B89" s="302" t="s">
        <v>433</v>
      </c>
      <c r="C89" s="302"/>
      <c r="D89" s="295"/>
      <c r="E89" s="320"/>
      <c r="F89" s="320"/>
      <c r="G89" s="322"/>
      <c r="H89" s="295"/>
    </row>
    <row r="90" spans="1:9">
      <c r="A90" s="295"/>
      <c r="B90" s="302"/>
      <c r="C90" s="302"/>
      <c r="D90" s="295"/>
      <c r="E90" s="320"/>
      <c r="F90" s="320"/>
      <c r="G90" s="322"/>
      <c r="H90" s="295"/>
    </row>
    <row r="91" spans="1:9" ht="23.25" customHeight="1">
      <c r="A91" s="295" t="s">
        <v>466</v>
      </c>
      <c r="B91" s="295"/>
      <c r="C91" s="298"/>
      <c r="D91" s="299"/>
      <c r="E91" s="295"/>
      <c r="F91" s="295"/>
      <c r="G91" s="300"/>
      <c r="H91" s="295"/>
      <c r="I91" s="299"/>
    </row>
    <row r="92" spans="1:9" ht="23.25" customHeight="1">
      <c r="A92" s="295" t="s">
        <v>148</v>
      </c>
      <c r="B92" s="295" t="s">
        <v>200</v>
      </c>
      <c r="C92" s="298"/>
      <c r="D92" s="299"/>
      <c r="E92" s="295"/>
      <c r="F92" s="295"/>
      <c r="G92" s="300"/>
      <c r="H92" s="295"/>
      <c r="I92" s="299"/>
    </row>
    <row r="93" spans="1:9" ht="23.25" customHeight="1">
      <c r="A93" s="295"/>
      <c r="B93" s="991" t="s">
        <v>544</v>
      </c>
      <c r="C93" s="991"/>
      <c r="D93" s="991"/>
      <c r="E93" s="991"/>
      <c r="F93" s="991"/>
      <c r="G93" s="991"/>
      <c r="H93" s="991"/>
      <c r="I93" s="991"/>
    </row>
    <row r="94" spans="1:9" ht="23.25" customHeight="1">
      <c r="A94" s="295"/>
      <c r="B94" s="302" t="s">
        <v>545</v>
      </c>
      <c r="C94" s="298"/>
      <c r="D94" s="299"/>
      <c r="E94" s="295"/>
      <c r="F94" s="295"/>
      <c r="G94" s="300"/>
      <c r="H94" s="295"/>
      <c r="I94" s="299"/>
    </row>
    <row r="95" spans="1:9" ht="23.25" customHeight="1">
      <c r="A95" s="295"/>
      <c r="B95" s="302"/>
      <c r="C95" s="323"/>
      <c r="D95" s="299"/>
      <c r="E95" s="295"/>
      <c r="F95" s="295"/>
      <c r="G95" s="300"/>
      <c r="H95" s="295"/>
      <c r="I95" s="299"/>
    </row>
    <row r="96" spans="1:9" ht="19.5" thickBot="1">
      <c r="A96" s="295"/>
      <c r="B96" s="947" t="s">
        <v>194</v>
      </c>
      <c r="C96" s="947"/>
      <c r="D96" s="947"/>
      <c r="E96" s="947"/>
      <c r="F96" s="947"/>
      <c r="G96" s="947"/>
      <c r="H96" s="947"/>
      <c r="I96" s="947"/>
    </row>
    <row r="97" spans="1:10" ht="23.25" customHeight="1" thickBot="1">
      <c r="A97" s="295"/>
      <c r="B97" s="1001" t="s">
        <v>146</v>
      </c>
      <c r="C97" s="1002"/>
      <c r="D97" s="957" t="s">
        <v>155</v>
      </c>
      <c r="E97" s="958"/>
      <c r="F97" s="958"/>
      <c r="G97" s="958"/>
      <c r="H97" s="958"/>
      <c r="I97" s="959"/>
    </row>
    <row r="98" spans="1:10" s="12" customFormat="1" ht="24" customHeight="1">
      <c r="A98" s="299"/>
      <c r="B98" s="1039" t="s">
        <v>195</v>
      </c>
      <c r="C98" s="1040"/>
      <c r="D98" s="985" t="s">
        <v>546</v>
      </c>
      <c r="E98" s="986"/>
      <c r="F98" s="986"/>
      <c r="G98" s="986"/>
      <c r="H98" s="986"/>
      <c r="I98" s="987"/>
      <c r="J98" s="299"/>
    </row>
    <row r="99" spans="1:10" s="12" customFormat="1" ht="24" customHeight="1">
      <c r="A99" s="299"/>
      <c r="B99" s="973" t="s">
        <v>196</v>
      </c>
      <c r="C99" s="974"/>
      <c r="D99" s="963" t="s">
        <v>547</v>
      </c>
      <c r="E99" s="964"/>
      <c r="F99" s="964"/>
      <c r="G99" s="964"/>
      <c r="H99" s="964"/>
      <c r="I99" s="965"/>
      <c r="J99" s="299"/>
    </row>
    <row r="100" spans="1:10" s="12" customFormat="1" ht="24" customHeight="1">
      <c r="A100" s="299"/>
      <c r="B100" s="1041" t="s">
        <v>449</v>
      </c>
      <c r="C100" s="1042"/>
      <c r="D100" s="963" t="s">
        <v>197</v>
      </c>
      <c r="E100" s="964"/>
      <c r="F100" s="964"/>
      <c r="G100" s="964"/>
      <c r="H100" s="964"/>
      <c r="I100" s="965"/>
      <c r="J100" s="299"/>
    </row>
    <row r="101" spans="1:10" s="12" customFormat="1" ht="22.5" customHeight="1" thickBot="1">
      <c r="A101" s="299"/>
      <c r="B101" s="1037" t="s">
        <v>198</v>
      </c>
      <c r="C101" s="1038"/>
      <c r="D101" s="992" t="s">
        <v>434</v>
      </c>
      <c r="E101" s="993"/>
      <c r="F101" s="993"/>
      <c r="G101" s="993"/>
      <c r="H101" s="993"/>
      <c r="I101" s="994"/>
      <c r="J101" s="299"/>
    </row>
    <row r="102" spans="1:10" ht="23.25" customHeight="1">
      <c r="A102" s="295"/>
      <c r="B102" s="295"/>
      <c r="C102" s="298"/>
      <c r="D102" s="299"/>
      <c r="E102" s="295"/>
      <c r="F102" s="295"/>
      <c r="G102" s="300"/>
      <c r="H102" s="295"/>
      <c r="I102" s="299"/>
    </row>
    <row r="103" spans="1:10" ht="42" customHeight="1">
      <c r="A103" s="295"/>
      <c r="B103" s="961" t="s">
        <v>199</v>
      </c>
      <c r="C103" s="961"/>
      <c r="D103" s="961"/>
      <c r="E103" s="961"/>
      <c r="F103" s="961"/>
      <c r="G103" s="961"/>
      <c r="H103" s="961"/>
      <c r="I103" s="961"/>
    </row>
    <row r="104" spans="1:10" ht="19.5" thickBot="1">
      <c r="A104" s="295"/>
      <c r="B104" s="1005" t="s">
        <v>590</v>
      </c>
      <c r="C104" s="1005"/>
      <c r="D104" s="1005"/>
      <c r="E104" s="1005"/>
      <c r="F104" s="1005"/>
      <c r="G104" s="1005"/>
      <c r="H104" s="1005"/>
      <c r="I104" s="1005"/>
    </row>
    <row r="105" spans="1:10" ht="76.5" customHeight="1" thickBot="1">
      <c r="A105" s="295"/>
      <c r="B105" s="1003"/>
      <c r="C105" s="1002"/>
      <c r="D105" s="1004"/>
      <c r="E105" s="324" t="s">
        <v>538</v>
      </c>
      <c r="F105" s="324" t="s">
        <v>548</v>
      </c>
      <c r="G105" s="995" t="s">
        <v>49</v>
      </c>
      <c r="H105" s="995"/>
      <c r="I105" s="996"/>
    </row>
    <row r="106" spans="1:10" s="12" customFormat="1" ht="20.100000000000001" customHeight="1">
      <c r="A106" s="299"/>
      <c r="B106" s="999" t="s">
        <v>9</v>
      </c>
      <c r="C106" s="1000"/>
      <c r="D106" s="325" t="s">
        <v>27</v>
      </c>
      <c r="E106" s="326">
        <v>1000</v>
      </c>
      <c r="F106" s="327">
        <f t="shared" ref="F106:F111" si="0">ROUNDUP(E106*(2*6*2.8+2*16.5*2.8)*(1-0.09)/(6*16.5),-1)</f>
        <v>1160</v>
      </c>
      <c r="G106" s="1035" t="s">
        <v>549</v>
      </c>
      <c r="H106" s="1035"/>
      <c r="I106" s="1036"/>
      <c r="J106" s="299"/>
    </row>
    <row r="107" spans="1:10" s="12" customFormat="1" ht="39.950000000000003" customHeight="1">
      <c r="A107" s="299"/>
      <c r="B107" s="999"/>
      <c r="C107" s="1000"/>
      <c r="D107" s="328" t="s">
        <v>28</v>
      </c>
      <c r="E107" s="329">
        <v>890</v>
      </c>
      <c r="F107" s="313">
        <f t="shared" si="0"/>
        <v>1040</v>
      </c>
      <c r="G107" s="952" t="s">
        <v>550</v>
      </c>
      <c r="H107" s="952"/>
      <c r="I107" s="953"/>
      <c r="J107" s="299"/>
    </row>
    <row r="108" spans="1:10" s="12" customFormat="1" ht="39.950000000000003" customHeight="1">
      <c r="A108" s="299"/>
      <c r="B108" s="999"/>
      <c r="C108" s="1000"/>
      <c r="D108" s="328" t="s">
        <v>14</v>
      </c>
      <c r="E108" s="329">
        <v>600</v>
      </c>
      <c r="F108" s="313">
        <f t="shared" si="0"/>
        <v>700</v>
      </c>
      <c r="G108" s="952" t="s">
        <v>551</v>
      </c>
      <c r="H108" s="952"/>
      <c r="I108" s="953"/>
      <c r="J108" s="299"/>
    </row>
    <row r="109" spans="1:10" s="12" customFormat="1" ht="39.950000000000003" customHeight="1">
      <c r="A109" s="299"/>
      <c r="B109" s="999"/>
      <c r="C109" s="1000"/>
      <c r="D109" s="328" t="s">
        <v>15</v>
      </c>
      <c r="E109" s="329">
        <v>500</v>
      </c>
      <c r="F109" s="313">
        <f t="shared" si="0"/>
        <v>580</v>
      </c>
      <c r="G109" s="952" t="s">
        <v>552</v>
      </c>
      <c r="H109" s="952"/>
      <c r="I109" s="953"/>
      <c r="J109" s="299"/>
    </row>
    <row r="110" spans="1:10" s="12" customFormat="1" ht="39.950000000000003" customHeight="1">
      <c r="A110" s="299"/>
      <c r="B110" s="999"/>
      <c r="C110" s="1000"/>
      <c r="D110" s="328" t="s">
        <v>313</v>
      </c>
      <c r="E110" s="329">
        <v>350</v>
      </c>
      <c r="F110" s="313">
        <f t="shared" si="0"/>
        <v>410</v>
      </c>
      <c r="G110" s="952" t="s">
        <v>314</v>
      </c>
      <c r="H110" s="952"/>
      <c r="I110" s="953"/>
      <c r="J110" s="299"/>
    </row>
    <row r="111" spans="1:10" s="12" customFormat="1" ht="39.950000000000003" customHeight="1">
      <c r="A111" s="299"/>
      <c r="B111" s="999"/>
      <c r="C111" s="1000"/>
      <c r="D111" s="997" t="s">
        <v>20</v>
      </c>
      <c r="E111" s="329">
        <v>70</v>
      </c>
      <c r="F111" s="313">
        <f t="shared" si="0"/>
        <v>90</v>
      </c>
      <c r="G111" s="952" t="s">
        <v>435</v>
      </c>
      <c r="H111" s="952"/>
      <c r="I111" s="953"/>
      <c r="J111" s="299"/>
    </row>
    <row r="112" spans="1:10" s="12" customFormat="1" ht="54.95" customHeight="1">
      <c r="A112" s="299"/>
      <c r="B112" s="999"/>
      <c r="C112" s="1000"/>
      <c r="D112" s="998"/>
      <c r="E112" s="330" t="s">
        <v>193</v>
      </c>
      <c r="F112" s="290" t="s">
        <v>303</v>
      </c>
      <c r="G112" s="952" t="s">
        <v>184</v>
      </c>
      <c r="H112" s="952"/>
      <c r="I112" s="953"/>
      <c r="J112" s="299"/>
    </row>
    <row r="113" spans="1:10" s="12" customFormat="1" ht="39.950000000000003" customHeight="1">
      <c r="A113" s="299"/>
      <c r="B113" s="1029" t="s">
        <v>21</v>
      </c>
      <c r="C113" s="1030"/>
      <c r="D113" s="311" t="s">
        <v>22</v>
      </c>
      <c r="E113" s="313">
        <v>400</v>
      </c>
      <c r="F113" s="313">
        <v>50</v>
      </c>
      <c r="G113" s="952" t="s">
        <v>436</v>
      </c>
      <c r="H113" s="952"/>
      <c r="I113" s="953"/>
      <c r="J113" s="299"/>
    </row>
    <row r="114" spans="1:10" s="12" customFormat="1" ht="39.950000000000003" customHeight="1" thickBot="1">
      <c r="A114" s="299"/>
      <c r="B114" s="1027" t="s">
        <v>16</v>
      </c>
      <c r="C114" s="1028"/>
      <c r="D114" s="331" t="s">
        <v>32</v>
      </c>
      <c r="E114" s="332" t="s">
        <v>189</v>
      </c>
      <c r="F114" s="291">
        <v>200</v>
      </c>
      <c r="G114" s="1022" t="s">
        <v>202</v>
      </c>
      <c r="H114" s="1022"/>
      <c r="I114" s="1023"/>
      <c r="J114" s="299"/>
    </row>
    <row r="115" spans="1:10">
      <c r="A115" s="295"/>
      <c r="B115" s="302" t="s">
        <v>52</v>
      </c>
      <c r="C115" s="302"/>
      <c r="D115" s="297"/>
      <c r="E115" s="320"/>
      <c r="F115" s="320"/>
      <c r="G115" s="321"/>
      <c r="H115" s="295"/>
      <c r="I115" s="299"/>
    </row>
    <row r="116" spans="1:10" ht="19.5" customHeight="1">
      <c r="A116" s="295"/>
      <c r="B116" s="302" t="s">
        <v>433</v>
      </c>
      <c r="C116" s="302"/>
      <c r="D116" s="295"/>
      <c r="E116" s="320"/>
      <c r="F116" s="320"/>
      <c r="G116" s="322"/>
      <c r="H116" s="295"/>
    </row>
    <row r="117" spans="1:10">
      <c r="A117" s="295"/>
      <c r="B117" s="298"/>
      <c r="C117" s="298"/>
      <c r="D117" s="295"/>
      <c r="E117" s="295"/>
      <c r="F117" s="295"/>
      <c r="G117" s="333"/>
      <c r="H117" s="295"/>
    </row>
    <row r="118" spans="1:10">
      <c r="A118" s="277" t="s">
        <v>201</v>
      </c>
      <c r="B118" s="295"/>
      <c r="C118" s="295"/>
      <c r="D118" s="295"/>
      <c r="E118" s="295"/>
      <c r="F118" s="295"/>
      <c r="G118" s="297"/>
      <c r="H118" s="295"/>
    </row>
    <row r="119" spans="1:10">
      <c r="A119" s="277" t="s">
        <v>329</v>
      </c>
      <c r="B119" s="295"/>
      <c r="C119" s="295"/>
      <c r="D119" s="295"/>
      <c r="E119" s="295"/>
      <c r="F119" s="295"/>
      <c r="G119" s="297"/>
      <c r="H119" s="295"/>
    </row>
    <row r="120" spans="1:10">
      <c r="A120" s="295" t="s">
        <v>401</v>
      </c>
      <c r="B120" s="277"/>
      <c r="C120" s="295"/>
      <c r="D120" s="295"/>
      <c r="E120" s="295"/>
      <c r="F120" s="295"/>
      <c r="G120" s="295"/>
      <c r="H120" s="297"/>
    </row>
    <row r="121" spans="1:10" ht="18" customHeight="1">
      <c r="A121" s="277"/>
      <c r="B121" s="961" t="s">
        <v>394</v>
      </c>
      <c r="C121" s="961"/>
      <c r="D121" s="961"/>
      <c r="E121" s="961"/>
      <c r="F121" s="961"/>
      <c r="G121" s="961"/>
      <c r="H121" s="961"/>
      <c r="I121" s="961"/>
    </row>
    <row r="122" spans="1:10" ht="18" customHeight="1">
      <c r="A122" s="277"/>
      <c r="B122" s="961" t="s">
        <v>393</v>
      </c>
      <c r="C122" s="961"/>
      <c r="D122" s="961"/>
      <c r="E122" s="961"/>
      <c r="F122" s="961"/>
      <c r="G122" s="961"/>
      <c r="H122" s="961"/>
      <c r="I122" s="961"/>
    </row>
    <row r="123" spans="1:10" ht="18" customHeight="1">
      <c r="A123" s="277"/>
      <c r="B123" s="961" t="s">
        <v>553</v>
      </c>
      <c r="C123" s="961"/>
      <c r="D123" s="961"/>
      <c r="E123" s="961"/>
      <c r="F123" s="961"/>
      <c r="G123" s="961"/>
      <c r="H123" s="961"/>
      <c r="I123" s="961"/>
    </row>
    <row r="124" spans="1:10" ht="18" customHeight="1">
      <c r="A124" s="277"/>
      <c r="B124" s="961" t="s">
        <v>396</v>
      </c>
      <c r="C124" s="961"/>
      <c r="D124" s="961"/>
      <c r="E124" s="961"/>
      <c r="F124" s="961"/>
      <c r="G124" s="961"/>
      <c r="H124" s="961"/>
      <c r="I124" s="961"/>
    </row>
    <row r="125" spans="1:10">
      <c r="A125" s="277"/>
      <c r="B125" s="301"/>
      <c r="C125" s="301"/>
      <c r="D125" s="301"/>
      <c r="E125" s="301"/>
      <c r="F125" s="301"/>
      <c r="G125" s="301"/>
      <c r="H125" s="295"/>
    </row>
    <row r="126" spans="1:10">
      <c r="A126" s="281" t="s">
        <v>330</v>
      </c>
      <c r="B126" s="295"/>
      <c r="C126" s="298"/>
      <c r="D126" s="299"/>
      <c r="E126" s="295"/>
      <c r="F126" s="295"/>
      <c r="G126" s="300"/>
      <c r="H126" s="295"/>
      <c r="I126" s="299"/>
    </row>
    <row r="127" spans="1:10">
      <c r="A127" s="277"/>
      <c r="B127" s="295"/>
      <c r="C127" s="295"/>
      <c r="D127" s="295"/>
      <c r="E127" s="295"/>
      <c r="F127" s="295"/>
      <c r="G127" s="297"/>
      <c r="H127" s="295"/>
    </row>
    <row r="128" spans="1:10" ht="19.5" thickBot="1">
      <c r="A128" s="295"/>
      <c r="B128" s="947" t="s">
        <v>331</v>
      </c>
      <c r="C128" s="947"/>
      <c r="D128" s="947"/>
      <c r="E128" s="947"/>
      <c r="F128" s="947"/>
      <c r="G128" s="947"/>
      <c r="H128" s="947"/>
      <c r="I128" s="947"/>
    </row>
    <row r="129" spans="1:9" ht="23.25" customHeight="1" thickBot="1">
      <c r="A129" s="295"/>
      <c r="B129" s="1052" t="s">
        <v>146</v>
      </c>
      <c r="C129" s="1054"/>
      <c r="D129" s="954" t="s">
        <v>155</v>
      </c>
      <c r="E129" s="955"/>
      <c r="F129" s="955"/>
      <c r="G129" s="955"/>
      <c r="H129" s="955"/>
      <c r="I129" s="956"/>
    </row>
    <row r="130" spans="1:9" ht="20.25">
      <c r="A130" s="295"/>
      <c r="B130" s="1043" t="s">
        <v>345</v>
      </c>
      <c r="C130" s="1044"/>
      <c r="D130" s="985" t="s">
        <v>204</v>
      </c>
      <c r="E130" s="986"/>
      <c r="F130" s="986"/>
      <c r="G130" s="986"/>
      <c r="H130" s="986"/>
      <c r="I130" s="987"/>
    </row>
    <row r="131" spans="1:9" ht="23.25" customHeight="1">
      <c r="A131" s="295"/>
      <c r="B131" s="1045" t="s">
        <v>346</v>
      </c>
      <c r="C131" s="1046"/>
      <c r="D131" s="963" t="s">
        <v>332</v>
      </c>
      <c r="E131" s="964"/>
      <c r="F131" s="964"/>
      <c r="G131" s="964"/>
      <c r="H131" s="964"/>
      <c r="I131" s="965"/>
    </row>
    <row r="132" spans="1:9" ht="21" thickBot="1">
      <c r="A132" s="295"/>
      <c r="B132" s="1047" t="s">
        <v>347</v>
      </c>
      <c r="C132" s="1048"/>
      <c r="D132" s="992" t="s">
        <v>333</v>
      </c>
      <c r="E132" s="993"/>
      <c r="F132" s="993"/>
      <c r="G132" s="993"/>
      <c r="H132" s="993"/>
      <c r="I132" s="994"/>
    </row>
    <row r="133" spans="1:9">
      <c r="A133" s="277"/>
      <c r="B133" s="295"/>
      <c r="C133" s="295"/>
      <c r="D133" s="295"/>
      <c r="E133" s="295"/>
      <c r="F133" s="295"/>
      <c r="G133" s="297"/>
      <c r="H133" s="295"/>
    </row>
    <row r="134" spans="1:9" ht="20.25">
      <c r="A134" s="281" t="s">
        <v>468</v>
      </c>
      <c r="B134" s="295"/>
      <c r="C134" s="298"/>
      <c r="D134" s="299"/>
      <c r="E134" s="295"/>
      <c r="F134" s="295"/>
      <c r="G134" s="300"/>
      <c r="H134" s="295"/>
      <c r="I134" s="299"/>
    </row>
    <row r="135" spans="1:9">
      <c r="A135" s="282"/>
      <c r="B135" s="295" t="s">
        <v>476</v>
      </c>
      <c r="C135" s="295"/>
      <c r="D135" s="295"/>
      <c r="E135" s="295"/>
      <c r="F135" s="295"/>
      <c r="G135" s="297"/>
      <c r="H135" s="295"/>
    </row>
    <row r="136" spans="1:9">
      <c r="A136" s="277"/>
      <c r="B136" s="295"/>
      <c r="C136" s="295"/>
      <c r="D136" s="295"/>
      <c r="E136" s="295"/>
      <c r="F136" s="295"/>
      <c r="G136" s="297"/>
      <c r="H136" s="295"/>
    </row>
    <row r="137" spans="1:9">
      <c r="A137" s="277"/>
      <c r="B137" s="295"/>
      <c r="C137" s="295"/>
      <c r="D137" s="295"/>
      <c r="E137" s="295"/>
      <c r="F137" s="295"/>
      <c r="G137" s="297"/>
      <c r="H137" s="295"/>
    </row>
    <row r="138" spans="1:9">
      <c r="A138" s="277"/>
      <c r="B138" s="295"/>
      <c r="C138" s="295"/>
      <c r="D138" s="295"/>
      <c r="E138" s="295"/>
      <c r="F138" s="295"/>
      <c r="G138" s="297"/>
      <c r="H138" s="295"/>
    </row>
    <row r="139" spans="1:9">
      <c r="A139" s="277"/>
      <c r="B139" s="295"/>
      <c r="C139" s="295"/>
      <c r="D139" s="295"/>
      <c r="E139" s="295"/>
      <c r="F139" s="295"/>
      <c r="G139" s="297"/>
      <c r="H139" s="295"/>
    </row>
    <row r="140" spans="1:9">
      <c r="A140" s="277"/>
      <c r="B140" s="295"/>
      <c r="C140" s="295"/>
      <c r="D140" s="295"/>
      <c r="E140" s="295"/>
      <c r="F140" s="295"/>
      <c r="G140" s="297"/>
      <c r="H140" s="295"/>
    </row>
    <row r="141" spans="1:9">
      <c r="A141" s="277"/>
      <c r="B141" s="295"/>
      <c r="C141" s="295"/>
      <c r="D141" s="295"/>
      <c r="E141" s="295"/>
      <c r="F141" s="295"/>
      <c r="G141" s="297"/>
      <c r="H141" s="295"/>
    </row>
    <row r="142" spans="1:9">
      <c r="A142" s="277"/>
      <c r="B142" s="295"/>
      <c r="C142" s="295"/>
      <c r="D142" s="295"/>
      <c r="E142" s="295"/>
      <c r="F142" s="295"/>
      <c r="G142" s="297"/>
      <c r="H142" s="295"/>
    </row>
    <row r="143" spans="1:9">
      <c r="A143" s="277"/>
      <c r="B143" s="295"/>
      <c r="C143" s="295"/>
      <c r="D143" s="295"/>
      <c r="E143" s="295"/>
      <c r="F143" s="295"/>
      <c r="G143" s="297"/>
      <c r="H143" s="295"/>
    </row>
    <row r="144" spans="1:9">
      <c r="A144" s="277"/>
      <c r="B144" s="295"/>
      <c r="C144" s="295"/>
      <c r="D144" s="295"/>
      <c r="E144" s="295"/>
      <c r="F144" s="295"/>
      <c r="G144" s="297"/>
      <c r="H144" s="295"/>
    </row>
    <row r="145" spans="1:9">
      <c r="A145" s="277"/>
      <c r="B145" s="295"/>
      <c r="C145" s="295"/>
      <c r="D145" s="295"/>
      <c r="E145" s="295"/>
      <c r="F145" s="295"/>
      <c r="G145" s="297"/>
      <c r="H145" s="295"/>
    </row>
    <row r="146" spans="1:9" ht="25.5" customHeight="1">
      <c r="A146" s="277"/>
      <c r="B146" s="295"/>
      <c r="C146" s="295"/>
      <c r="D146" s="295"/>
      <c r="E146" s="295"/>
      <c r="F146" s="295"/>
      <c r="G146" s="297"/>
      <c r="H146" s="295"/>
    </row>
    <row r="147" spans="1:9" ht="16.899999999999999" customHeight="1">
      <c r="A147" s="277"/>
      <c r="B147" s="295"/>
      <c r="C147" s="295"/>
      <c r="D147" s="295"/>
      <c r="E147" s="295"/>
      <c r="F147" s="295"/>
      <c r="G147" s="297"/>
      <c r="H147" s="295"/>
    </row>
    <row r="148" spans="1:9" ht="16.899999999999999" customHeight="1" thickBot="1">
      <c r="A148" s="295"/>
      <c r="B148" s="947" t="s">
        <v>334</v>
      </c>
      <c r="C148" s="947"/>
      <c r="D148" s="947"/>
      <c r="E148" s="947"/>
      <c r="F148" s="947"/>
      <c r="G148" s="947"/>
      <c r="H148" s="947"/>
      <c r="I148" s="947"/>
    </row>
    <row r="149" spans="1:9" ht="24" customHeight="1" thickBot="1">
      <c r="A149" s="295"/>
      <c r="B149" s="1001" t="s">
        <v>146</v>
      </c>
      <c r="C149" s="1002"/>
      <c r="D149" s="957" t="s">
        <v>155</v>
      </c>
      <c r="E149" s="958"/>
      <c r="F149" s="958"/>
      <c r="G149" s="958"/>
      <c r="H149" s="958"/>
      <c r="I149" s="959"/>
    </row>
    <row r="150" spans="1:9" ht="38.450000000000003" customHeight="1">
      <c r="A150" s="295"/>
      <c r="B150" s="988" t="s">
        <v>418</v>
      </c>
      <c r="C150" s="989"/>
      <c r="D150" s="1055" t="s">
        <v>554</v>
      </c>
      <c r="E150" s="1035"/>
      <c r="F150" s="1035"/>
      <c r="G150" s="1035"/>
      <c r="H150" s="1035"/>
      <c r="I150" s="1036"/>
    </row>
    <row r="151" spans="1:9" ht="22.5" customHeight="1">
      <c r="A151" s="295"/>
      <c r="B151" s="973" t="s">
        <v>419</v>
      </c>
      <c r="C151" s="974"/>
      <c r="D151" s="963" t="s">
        <v>555</v>
      </c>
      <c r="E151" s="964"/>
      <c r="F151" s="964"/>
      <c r="G151" s="964"/>
      <c r="H151" s="964"/>
      <c r="I151" s="965"/>
    </row>
    <row r="152" spans="1:9" ht="42" customHeight="1">
      <c r="A152" s="295"/>
      <c r="B152" s="973" t="s">
        <v>203</v>
      </c>
      <c r="C152" s="974"/>
      <c r="D152" s="951" t="s">
        <v>585</v>
      </c>
      <c r="E152" s="952"/>
      <c r="F152" s="952"/>
      <c r="G152" s="952"/>
      <c r="H152" s="952"/>
      <c r="I152" s="953"/>
    </row>
    <row r="153" spans="1:9" ht="23.25" customHeight="1" thickBot="1">
      <c r="A153" s="295"/>
      <c r="B153" s="1031" t="s">
        <v>420</v>
      </c>
      <c r="C153" s="1032"/>
      <c r="D153" s="992" t="s">
        <v>556</v>
      </c>
      <c r="E153" s="993"/>
      <c r="F153" s="993"/>
      <c r="G153" s="993"/>
      <c r="H153" s="993"/>
      <c r="I153" s="994"/>
    </row>
    <row r="154" spans="1:9" ht="18" customHeight="1">
      <c r="A154" s="295"/>
      <c r="B154" s="295"/>
      <c r="C154" s="298"/>
      <c r="D154" s="299"/>
      <c r="E154" s="295"/>
      <c r="F154" s="295"/>
      <c r="G154" s="300"/>
      <c r="H154" s="295"/>
      <c r="I154" s="299"/>
    </row>
    <row r="155" spans="1:9" ht="23.25" customHeight="1">
      <c r="A155" s="281" t="s">
        <v>467</v>
      </c>
      <c r="B155" s="295"/>
      <c r="C155" s="298"/>
      <c r="D155" s="299"/>
      <c r="E155" s="295"/>
      <c r="F155" s="295"/>
      <c r="G155" s="300"/>
      <c r="H155" s="295"/>
      <c r="I155" s="299"/>
    </row>
    <row r="156" spans="1:9" ht="23.25" customHeight="1">
      <c r="A156" s="282"/>
      <c r="B156" s="295"/>
      <c r="C156" s="295"/>
      <c r="D156" s="295"/>
      <c r="E156" s="295"/>
      <c r="F156" s="295"/>
      <c r="G156" s="297"/>
      <c r="H156" s="295"/>
    </row>
    <row r="157" spans="1:9" ht="23.25" customHeight="1">
      <c r="A157" s="277"/>
      <c r="B157" s="295"/>
      <c r="C157" s="295"/>
      <c r="D157" s="295"/>
      <c r="E157" s="295"/>
      <c r="F157" s="295"/>
      <c r="G157" s="297"/>
      <c r="H157" s="295"/>
    </row>
    <row r="158" spans="1:9" ht="18" customHeight="1">
      <c r="A158" s="277"/>
      <c r="B158" s="295"/>
      <c r="C158" s="295"/>
      <c r="D158" s="295"/>
      <c r="E158" s="295"/>
      <c r="F158" s="295"/>
      <c r="G158" s="297"/>
      <c r="H158" s="295"/>
    </row>
    <row r="159" spans="1:9" ht="23.25" customHeight="1">
      <c r="A159" s="281" t="s">
        <v>415</v>
      </c>
      <c r="B159" s="283"/>
      <c r="C159" s="284"/>
      <c r="D159" s="285"/>
      <c r="E159" s="283"/>
      <c r="F159" s="283"/>
      <c r="G159" s="286"/>
      <c r="H159" s="295"/>
      <c r="I159" s="299"/>
    </row>
    <row r="160" spans="1:9" ht="23.25" customHeight="1">
      <c r="A160" s="295" t="s">
        <v>148</v>
      </c>
      <c r="B160" s="295" t="s">
        <v>557</v>
      </c>
      <c r="C160" s="298"/>
      <c r="D160" s="299"/>
      <c r="E160" s="295"/>
      <c r="F160" s="295"/>
      <c r="G160" s="300"/>
      <c r="H160" s="295"/>
      <c r="I160" s="299"/>
    </row>
    <row r="161" spans="1:9" ht="23.25" customHeight="1">
      <c r="A161" s="295" t="s">
        <v>229</v>
      </c>
      <c r="B161" s="295"/>
      <c r="C161" s="298"/>
      <c r="D161" s="299"/>
      <c r="E161" s="295"/>
      <c r="F161" s="295"/>
      <c r="G161" s="300"/>
      <c r="H161" s="295"/>
      <c r="I161" s="299"/>
    </row>
    <row r="162" spans="1:9" ht="23.25" customHeight="1">
      <c r="A162" s="295"/>
      <c r="B162" s="295" t="s">
        <v>416</v>
      </c>
      <c r="C162" s="298"/>
      <c r="D162" s="299"/>
      <c r="E162" s="295"/>
      <c r="F162" s="295"/>
      <c r="G162" s="300"/>
      <c r="H162" s="295"/>
      <c r="I162" s="299"/>
    </row>
    <row r="163" spans="1:9" ht="23.25" customHeight="1">
      <c r="A163" s="295"/>
      <c r="B163" s="281" t="s">
        <v>558</v>
      </c>
      <c r="C163" s="298"/>
      <c r="D163" s="299"/>
      <c r="E163" s="295"/>
      <c r="F163" s="295"/>
      <c r="G163" s="300"/>
      <c r="H163" s="295"/>
      <c r="I163" s="299"/>
    </row>
    <row r="164" spans="1:9" ht="23.25" customHeight="1">
      <c r="A164" s="295"/>
      <c r="B164" s="281" t="s">
        <v>559</v>
      </c>
      <c r="C164" s="298"/>
      <c r="D164" s="299"/>
      <c r="E164" s="295"/>
      <c r="F164" s="295"/>
      <c r="G164" s="300"/>
      <c r="H164" s="295"/>
      <c r="I164" s="299"/>
    </row>
    <row r="165" spans="1:9" ht="23.25" customHeight="1">
      <c r="A165" s="295"/>
      <c r="B165" s="295" t="s">
        <v>417</v>
      </c>
      <c r="C165" s="298"/>
      <c r="D165" s="299"/>
      <c r="E165" s="295"/>
      <c r="F165" s="295"/>
      <c r="G165" s="300"/>
      <c r="H165" s="295"/>
      <c r="I165" s="299"/>
    </row>
    <row r="166" spans="1:9" ht="23.25" customHeight="1">
      <c r="A166" s="295"/>
      <c r="B166" s="281" t="s">
        <v>560</v>
      </c>
      <c r="C166" s="298"/>
      <c r="D166" s="299"/>
      <c r="E166" s="295"/>
      <c r="F166" s="295"/>
      <c r="G166" s="300"/>
      <c r="H166" s="295"/>
      <c r="I166" s="299"/>
    </row>
    <row r="167" spans="1:9" ht="23.25" customHeight="1">
      <c r="A167" s="295"/>
      <c r="B167" s="281" t="s">
        <v>561</v>
      </c>
      <c r="C167" s="298"/>
      <c r="D167" s="299"/>
      <c r="E167" s="295"/>
      <c r="F167" s="295"/>
      <c r="G167" s="300"/>
      <c r="H167" s="295"/>
      <c r="I167" s="299"/>
    </row>
    <row r="168" spans="1:9" ht="23.25" customHeight="1">
      <c r="A168" s="295"/>
      <c r="B168" s="295"/>
      <c r="C168" s="298"/>
      <c r="D168" s="299"/>
      <c r="E168" s="295"/>
      <c r="F168" s="295"/>
      <c r="G168" s="300"/>
      <c r="H168" s="295"/>
      <c r="I168" s="299"/>
    </row>
    <row r="169" spans="1:9">
      <c r="A169" s="295" t="s">
        <v>230</v>
      </c>
      <c r="B169" s="295"/>
      <c r="C169" s="298"/>
      <c r="D169" s="299"/>
      <c r="E169" s="295"/>
      <c r="F169" s="295"/>
      <c r="G169" s="300"/>
      <c r="H169" s="295"/>
      <c r="I169" s="299"/>
    </row>
    <row r="170" spans="1:9" ht="25.5" customHeight="1">
      <c r="A170" s="295"/>
      <c r="B170" s="295" t="s">
        <v>416</v>
      </c>
      <c r="C170" s="298"/>
      <c r="D170" s="299"/>
      <c r="E170" s="295"/>
      <c r="F170" s="295"/>
      <c r="G170" s="300"/>
      <c r="H170" s="295"/>
      <c r="I170" s="299"/>
    </row>
    <row r="171" spans="1:9" ht="25.5" customHeight="1">
      <c r="A171" s="295"/>
      <c r="B171" s="281" t="s">
        <v>562</v>
      </c>
      <c r="C171" s="298"/>
      <c r="D171" s="299"/>
      <c r="E171" s="295"/>
      <c r="F171" s="295"/>
      <c r="G171" s="300"/>
      <c r="H171" s="295"/>
      <c r="I171" s="299"/>
    </row>
    <row r="172" spans="1:9" ht="23.25" customHeight="1">
      <c r="A172" s="295"/>
      <c r="B172" s="295" t="s">
        <v>417</v>
      </c>
      <c r="C172" s="298"/>
      <c r="D172" s="299"/>
      <c r="E172" s="295"/>
      <c r="F172" s="295"/>
      <c r="G172" s="300"/>
      <c r="H172" s="295"/>
      <c r="I172" s="299"/>
    </row>
    <row r="173" spans="1:9" ht="20.25">
      <c r="A173" s="295"/>
      <c r="B173" s="281" t="s">
        <v>563</v>
      </c>
      <c r="C173" s="298"/>
      <c r="D173" s="299"/>
      <c r="E173" s="295"/>
      <c r="F173" s="295"/>
      <c r="G173" s="300"/>
      <c r="H173" s="295"/>
      <c r="I173" s="299"/>
    </row>
    <row r="174" spans="1:9" ht="16.149999999999999" customHeight="1" thickBot="1">
      <c r="A174" s="295"/>
      <c r="B174" s="947" t="s">
        <v>335</v>
      </c>
      <c r="C174" s="947"/>
      <c r="D174" s="947"/>
      <c r="E174" s="947"/>
      <c r="F174" s="947"/>
      <c r="G174" s="947"/>
      <c r="H174" s="947"/>
      <c r="I174" s="947"/>
    </row>
    <row r="175" spans="1:9" ht="19.899999999999999" customHeight="1" thickBot="1">
      <c r="A175" s="295"/>
      <c r="B175" s="1052" t="s">
        <v>146</v>
      </c>
      <c r="C175" s="1053"/>
      <c r="D175" s="1054"/>
      <c r="E175" s="957" t="s">
        <v>155</v>
      </c>
      <c r="F175" s="958"/>
      <c r="G175" s="958"/>
      <c r="H175" s="958"/>
      <c r="I175" s="959"/>
    </row>
    <row r="176" spans="1:9" ht="19.899999999999999" customHeight="1">
      <c r="A176" s="295"/>
      <c r="B176" s="975" t="s">
        <v>450</v>
      </c>
      <c r="C176" s="976"/>
      <c r="D176" s="977"/>
      <c r="E176" s="1049" t="s">
        <v>564</v>
      </c>
      <c r="F176" s="1050"/>
      <c r="G176" s="1050"/>
      <c r="H176" s="1050"/>
      <c r="I176" s="1051"/>
    </row>
    <row r="177" spans="1:9" ht="19.899999999999999" customHeight="1">
      <c r="A177" s="295"/>
      <c r="B177" s="975" t="s">
        <v>451</v>
      </c>
      <c r="C177" s="976"/>
      <c r="D177" s="977"/>
      <c r="E177" s="1015" t="s">
        <v>565</v>
      </c>
      <c r="F177" s="1016"/>
      <c r="G177" s="1016"/>
      <c r="H177" s="1016"/>
      <c r="I177" s="1017"/>
    </row>
    <row r="178" spans="1:9" ht="19.899999999999999" customHeight="1">
      <c r="A178" s="295"/>
      <c r="B178" s="975" t="s">
        <v>452</v>
      </c>
      <c r="C178" s="976"/>
      <c r="D178" s="977"/>
      <c r="E178" s="1015" t="s">
        <v>566</v>
      </c>
      <c r="F178" s="1016"/>
      <c r="G178" s="1016"/>
      <c r="H178" s="1016"/>
      <c r="I178" s="1017"/>
    </row>
    <row r="179" spans="1:9" ht="19.899999999999999" customHeight="1">
      <c r="A179" s="295"/>
      <c r="B179" s="975" t="s">
        <v>453</v>
      </c>
      <c r="C179" s="976"/>
      <c r="D179" s="977"/>
      <c r="E179" s="1015" t="s">
        <v>567</v>
      </c>
      <c r="F179" s="1016"/>
      <c r="G179" s="1016"/>
      <c r="H179" s="1016"/>
      <c r="I179" s="1017"/>
    </row>
    <row r="180" spans="1:9" ht="19.899999999999999" customHeight="1">
      <c r="A180" s="295"/>
      <c r="B180" s="978" t="s">
        <v>454</v>
      </c>
      <c r="C180" s="979"/>
      <c r="D180" s="980"/>
      <c r="E180" s="1015" t="s">
        <v>568</v>
      </c>
      <c r="F180" s="1016"/>
      <c r="G180" s="1016"/>
      <c r="H180" s="1016"/>
      <c r="I180" s="1017"/>
    </row>
    <row r="181" spans="1:9" ht="19.899999999999999" customHeight="1" thickBot="1">
      <c r="A181" s="295"/>
      <c r="B181" s="981" t="s">
        <v>455</v>
      </c>
      <c r="C181" s="982"/>
      <c r="D181" s="983"/>
      <c r="E181" s="1009" t="s">
        <v>569</v>
      </c>
      <c r="F181" s="1010"/>
      <c r="G181" s="1010"/>
      <c r="H181" s="1010"/>
      <c r="I181" s="1011"/>
    </row>
    <row r="182" spans="1:9" ht="23.25" customHeight="1">
      <c r="A182" s="295"/>
      <c r="B182" s="295"/>
      <c r="C182" s="298"/>
      <c r="D182" s="299"/>
      <c r="E182" s="295"/>
      <c r="F182" s="295"/>
      <c r="G182" s="300"/>
      <c r="H182" s="295"/>
      <c r="I182" s="299"/>
    </row>
    <row r="183" spans="1:9" ht="22.9" customHeight="1">
      <c r="A183" s="277" t="s">
        <v>336</v>
      </c>
      <c r="B183" s="295"/>
      <c r="C183" s="295"/>
      <c r="D183" s="295"/>
      <c r="E183" s="295"/>
      <c r="F183" s="295"/>
      <c r="G183" s="297"/>
      <c r="H183" s="295"/>
    </row>
    <row r="184" spans="1:9" ht="18" customHeight="1">
      <c r="A184" s="295" t="s">
        <v>397</v>
      </c>
      <c r="B184" s="277"/>
      <c r="C184" s="295"/>
      <c r="D184" s="295"/>
      <c r="E184" s="295"/>
      <c r="F184" s="295"/>
      <c r="G184" s="295"/>
      <c r="H184" s="297"/>
    </row>
    <row r="185" spans="1:9" ht="18" customHeight="1">
      <c r="A185" s="295"/>
      <c r="B185" s="984" t="s">
        <v>580</v>
      </c>
      <c r="C185" s="984"/>
      <c r="D185" s="984"/>
      <c r="E185" s="984"/>
      <c r="F185" s="984"/>
      <c r="G185" s="984"/>
      <c r="H185" s="984"/>
      <c r="I185" s="984"/>
    </row>
    <row r="186" spans="1:9" ht="18" customHeight="1">
      <c r="A186" s="295"/>
      <c r="B186" s="962" t="s">
        <v>581</v>
      </c>
      <c r="C186" s="962"/>
      <c r="D186" s="962"/>
      <c r="E186" s="962"/>
      <c r="F186" s="962"/>
      <c r="G186" s="962"/>
      <c r="H186" s="962"/>
      <c r="I186" s="962"/>
    </row>
    <row r="187" spans="1:9" ht="18" customHeight="1">
      <c r="A187" s="295"/>
      <c r="B187" s="962" t="s">
        <v>579</v>
      </c>
      <c r="C187" s="962"/>
      <c r="D187" s="962"/>
      <c r="E187" s="962"/>
      <c r="F187" s="962"/>
      <c r="G187" s="962"/>
      <c r="H187" s="962"/>
      <c r="I187" s="962"/>
    </row>
    <row r="188" spans="1:9" ht="18" customHeight="1">
      <c r="A188" s="295"/>
      <c r="B188" s="962" t="s">
        <v>582</v>
      </c>
      <c r="C188" s="962"/>
      <c r="D188" s="962"/>
      <c r="E188" s="962"/>
      <c r="F188" s="962"/>
      <c r="G188" s="962"/>
      <c r="H188" s="962"/>
      <c r="I188" s="962"/>
    </row>
    <row r="189" spans="1:9" ht="18" customHeight="1">
      <c r="A189" s="277"/>
      <c r="B189" s="961" t="s">
        <v>394</v>
      </c>
      <c r="C189" s="961"/>
      <c r="D189" s="961"/>
      <c r="E189" s="961"/>
      <c r="F189" s="961"/>
      <c r="G189" s="961"/>
      <c r="H189" s="961"/>
      <c r="I189" s="961"/>
    </row>
    <row r="190" spans="1:9" ht="18" customHeight="1">
      <c r="A190" s="277"/>
      <c r="B190" s="961" t="s">
        <v>553</v>
      </c>
      <c r="C190" s="961"/>
      <c r="D190" s="961"/>
      <c r="E190" s="961"/>
      <c r="F190" s="961"/>
      <c r="G190" s="961"/>
      <c r="H190" s="961"/>
      <c r="I190" s="961"/>
    </row>
    <row r="191" spans="1:9" ht="18" customHeight="1">
      <c r="A191" s="277"/>
      <c r="B191" s="961" t="s">
        <v>396</v>
      </c>
      <c r="C191" s="961"/>
      <c r="D191" s="961"/>
      <c r="E191" s="961"/>
      <c r="F191" s="961"/>
      <c r="G191" s="961"/>
      <c r="H191" s="961"/>
      <c r="I191" s="961"/>
    </row>
    <row r="192" spans="1:9" ht="18" customHeight="1">
      <c r="A192" s="277"/>
      <c r="B192" s="960" t="s">
        <v>337</v>
      </c>
      <c r="C192" s="960"/>
      <c r="D192" s="960"/>
      <c r="E192" s="960"/>
      <c r="F192" s="960"/>
      <c r="G192" s="960"/>
      <c r="H192" s="960"/>
      <c r="I192" s="960"/>
    </row>
    <row r="193" spans="1:9" ht="18" customHeight="1">
      <c r="A193" s="295"/>
      <c r="B193" s="295"/>
      <c r="C193" s="298"/>
      <c r="D193" s="299"/>
      <c r="E193" s="295"/>
      <c r="F193" s="295"/>
      <c r="G193" s="300"/>
      <c r="H193" s="295"/>
      <c r="I193" s="299"/>
    </row>
    <row r="194" spans="1:9" ht="25.5" customHeight="1">
      <c r="A194" s="277" t="s">
        <v>338</v>
      </c>
      <c r="B194" s="295"/>
      <c r="C194" s="295"/>
      <c r="D194" s="295"/>
      <c r="E194" s="295"/>
      <c r="F194" s="295"/>
      <c r="G194" s="297"/>
      <c r="H194" s="295"/>
      <c r="I194" s="299"/>
    </row>
    <row r="195" spans="1:9" ht="18" customHeight="1">
      <c r="A195" s="295" t="s">
        <v>400</v>
      </c>
      <c r="B195" s="277"/>
      <c r="C195" s="295"/>
      <c r="D195" s="295"/>
      <c r="E195" s="295"/>
      <c r="F195" s="295"/>
      <c r="G195" s="295"/>
      <c r="H195" s="297"/>
    </row>
    <row r="196" spans="1:9" ht="18" customHeight="1">
      <c r="A196" s="295"/>
      <c r="B196" s="962" t="s">
        <v>579</v>
      </c>
      <c r="C196" s="962"/>
      <c r="D196" s="962"/>
      <c r="E196" s="962"/>
      <c r="F196" s="962"/>
      <c r="G196" s="962"/>
      <c r="H196" s="962"/>
      <c r="I196" s="962"/>
    </row>
    <row r="197" spans="1:9" ht="18" customHeight="1">
      <c r="A197" s="295"/>
      <c r="B197" s="962" t="s">
        <v>582</v>
      </c>
      <c r="C197" s="962"/>
      <c r="D197" s="962"/>
      <c r="E197" s="962"/>
      <c r="F197" s="962"/>
      <c r="G197" s="962"/>
      <c r="H197" s="962"/>
      <c r="I197" s="962"/>
    </row>
    <row r="198" spans="1:9" ht="18" customHeight="1">
      <c r="A198" s="295"/>
      <c r="B198" s="962" t="s">
        <v>583</v>
      </c>
      <c r="C198" s="962"/>
      <c r="D198" s="962"/>
      <c r="E198" s="962"/>
      <c r="F198" s="962"/>
      <c r="G198" s="962"/>
      <c r="H198" s="962"/>
      <c r="I198" s="962"/>
    </row>
    <row r="199" spans="1:9" ht="18" customHeight="1">
      <c r="A199" s="295"/>
      <c r="B199" s="962" t="s">
        <v>584</v>
      </c>
      <c r="C199" s="962"/>
      <c r="D199" s="962"/>
      <c r="E199" s="962"/>
      <c r="F199" s="962"/>
      <c r="G199" s="962"/>
      <c r="H199" s="962"/>
      <c r="I199" s="962"/>
    </row>
    <row r="200" spans="1:9" ht="18" customHeight="1">
      <c r="A200" s="295"/>
      <c r="B200" s="962" t="s">
        <v>472</v>
      </c>
      <c r="C200" s="962"/>
      <c r="D200" s="962"/>
      <c r="E200" s="962"/>
      <c r="F200" s="962"/>
      <c r="G200" s="962"/>
      <c r="H200" s="962"/>
      <c r="I200" s="962"/>
    </row>
    <row r="201" spans="1:9" ht="18" customHeight="1">
      <c r="A201" s="277"/>
      <c r="B201" s="961" t="s">
        <v>398</v>
      </c>
      <c r="C201" s="961"/>
      <c r="D201" s="961"/>
      <c r="E201" s="961"/>
      <c r="F201" s="961"/>
      <c r="G201" s="961"/>
      <c r="H201" s="961"/>
      <c r="I201" s="961"/>
    </row>
    <row r="202" spans="1:9" ht="18" customHeight="1">
      <c r="A202" s="277"/>
      <c r="B202" s="961" t="s">
        <v>395</v>
      </c>
      <c r="C202" s="961"/>
      <c r="D202" s="961"/>
      <c r="E202" s="961"/>
      <c r="F202" s="961"/>
      <c r="G202" s="961"/>
      <c r="H202" s="961"/>
      <c r="I202" s="961"/>
    </row>
    <row r="203" spans="1:9" ht="18" customHeight="1">
      <c r="A203" s="277"/>
      <c r="B203" s="301"/>
      <c r="C203" s="301"/>
      <c r="D203" s="301"/>
      <c r="E203" s="301"/>
      <c r="F203" s="301"/>
      <c r="G203" s="301"/>
      <c r="H203" s="295"/>
    </row>
    <row r="204" spans="1:9" ht="19.899999999999999" customHeight="1">
      <c r="A204" s="281" t="s">
        <v>234</v>
      </c>
      <c r="B204" s="295"/>
      <c r="C204" s="298"/>
      <c r="D204" s="299"/>
      <c r="E204" s="295"/>
      <c r="F204" s="295"/>
      <c r="G204" s="300"/>
      <c r="H204" s="295"/>
      <c r="I204" s="299"/>
    </row>
    <row r="205" spans="1:9" ht="19.899999999999999" customHeight="1">
      <c r="A205" s="281"/>
      <c r="B205" s="295" t="s">
        <v>476</v>
      </c>
      <c r="C205" s="298"/>
      <c r="D205" s="299"/>
      <c r="E205" s="295"/>
      <c r="F205" s="295"/>
      <c r="G205" s="300"/>
      <c r="H205" s="295"/>
      <c r="I205" s="299"/>
    </row>
    <row r="206" spans="1:9" ht="23.25" customHeight="1">
      <c r="A206" s="282"/>
      <c r="B206" s="295"/>
      <c r="C206" s="295"/>
      <c r="D206" s="295"/>
      <c r="E206" s="295"/>
      <c r="F206" s="295"/>
      <c r="G206" s="297"/>
      <c r="H206" s="295"/>
      <c r="I206" s="299"/>
    </row>
    <row r="207" spans="1:9" ht="23.25" customHeight="1">
      <c r="A207" s="277"/>
      <c r="B207" s="295"/>
      <c r="C207" s="295"/>
      <c r="D207" s="295"/>
      <c r="E207" s="295"/>
      <c r="F207" s="295"/>
      <c r="G207" s="297"/>
      <c r="H207" s="295"/>
      <c r="I207" s="299"/>
    </row>
    <row r="208" spans="1:9">
      <c r="A208" s="277"/>
      <c r="B208" s="295"/>
      <c r="C208" s="295"/>
      <c r="D208" s="295"/>
      <c r="E208" s="295"/>
      <c r="F208" s="295"/>
      <c r="G208" s="297"/>
      <c r="H208" s="295"/>
      <c r="I208" s="299"/>
    </row>
    <row r="209" spans="1:9">
      <c r="A209" s="277"/>
      <c r="B209" s="295"/>
      <c r="C209" s="295"/>
      <c r="D209" s="295"/>
      <c r="E209" s="295"/>
      <c r="F209" s="295"/>
      <c r="G209" s="297"/>
      <c r="H209" s="295"/>
    </row>
    <row r="210" spans="1:9" ht="24" customHeight="1">
      <c r="A210" s="277"/>
      <c r="B210" s="295"/>
      <c r="C210" s="295"/>
      <c r="D210" s="295"/>
      <c r="E210" s="295"/>
      <c r="F210" s="295"/>
      <c r="G210" s="297"/>
      <c r="H210" s="295"/>
      <c r="I210" s="297"/>
    </row>
    <row r="211" spans="1:9" ht="18.75" customHeight="1">
      <c r="A211" s="277"/>
      <c r="B211" s="295"/>
      <c r="C211" s="295"/>
      <c r="D211" s="295"/>
      <c r="E211" s="295"/>
      <c r="F211" s="295"/>
      <c r="G211" s="297"/>
      <c r="H211" s="295"/>
      <c r="I211" s="297"/>
    </row>
    <row r="212" spans="1:9">
      <c r="A212" s="277"/>
      <c r="B212" s="295"/>
      <c r="C212" s="295"/>
      <c r="D212" s="295"/>
      <c r="E212" s="295"/>
      <c r="F212" s="295"/>
      <c r="G212" s="297"/>
      <c r="H212" s="295"/>
      <c r="I212" s="297"/>
    </row>
    <row r="213" spans="1:9">
      <c r="A213" s="277"/>
      <c r="B213" s="295"/>
      <c r="C213" s="295"/>
      <c r="D213" s="295"/>
      <c r="E213" s="295"/>
      <c r="F213" s="295"/>
      <c r="G213" s="297"/>
      <c r="H213" s="295"/>
      <c r="I213" s="297"/>
    </row>
    <row r="214" spans="1:9">
      <c r="A214" s="277"/>
      <c r="B214" s="295"/>
      <c r="C214" s="295"/>
      <c r="D214" s="295"/>
      <c r="E214" s="295"/>
      <c r="F214" s="295"/>
      <c r="G214" s="297"/>
      <c r="H214" s="295"/>
      <c r="I214" s="299"/>
    </row>
    <row r="215" spans="1:9" ht="17.45" customHeight="1" thickBot="1">
      <c r="A215" s="295"/>
      <c r="B215" s="947" t="s">
        <v>408</v>
      </c>
      <c r="C215" s="947"/>
      <c r="D215" s="947"/>
      <c r="E215" s="947"/>
      <c r="F215" s="947"/>
      <c r="G215" s="947"/>
      <c r="H215" s="947"/>
      <c r="I215" s="947"/>
    </row>
    <row r="216" spans="1:9" ht="18.75" customHeight="1" thickBot="1">
      <c r="A216" s="295"/>
      <c r="B216" s="1001" t="s">
        <v>146</v>
      </c>
      <c r="C216" s="1002"/>
      <c r="D216" s="954" t="s">
        <v>155</v>
      </c>
      <c r="E216" s="955"/>
      <c r="F216" s="955"/>
      <c r="G216" s="955"/>
      <c r="H216" s="955"/>
      <c r="I216" s="956"/>
    </row>
    <row r="217" spans="1:9" ht="20.25">
      <c r="A217" s="295"/>
      <c r="B217" s="988" t="s">
        <v>238</v>
      </c>
      <c r="C217" s="989"/>
      <c r="D217" s="985" t="s">
        <v>570</v>
      </c>
      <c r="E217" s="986"/>
      <c r="F217" s="986"/>
      <c r="G217" s="986"/>
      <c r="H217" s="986"/>
      <c r="I217" s="987"/>
    </row>
    <row r="218" spans="1:9" ht="20.25">
      <c r="A218" s="295"/>
      <c r="B218" s="973" t="s">
        <v>235</v>
      </c>
      <c r="C218" s="974"/>
      <c r="D218" s="963" t="s">
        <v>236</v>
      </c>
      <c r="E218" s="964"/>
      <c r="F218" s="964"/>
      <c r="G218" s="964"/>
      <c r="H218" s="964"/>
      <c r="I218" s="965"/>
    </row>
    <row r="219" spans="1:9" ht="20.25">
      <c r="A219" s="295"/>
      <c r="B219" s="973" t="s">
        <v>239</v>
      </c>
      <c r="C219" s="974"/>
      <c r="D219" s="963" t="s">
        <v>571</v>
      </c>
      <c r="E219" s="964"/>
      <c r="F219" s="964"/>
      <c r="G219" s="964"/>
      <c r="H219" s="964"/>
      <c r="I219" s="965"/>
    </row>
    <row r="220" spans="1:9" ht="21" thickBot="1">
      <c r="A220" s="295"/>
      <c r="B220" s="1031" t="s">
        <v>572</v>
      </c>
      <c r="C220" s="1032"/>
      <c r="D220" s="969" t="s">
        <v>477</v>
      </c>
      <c r="E220" s="970"/>
      <c r="F220" s="970"/>
      <c r="G220" s="970"/>
      <c r="H220" s="970"/>
      <c r="I220" s="971"/>
    </row>
    <row r="221" spans="1:9">
      <c r="A221" s="295"/>
      <c r="B221" s="295"/>
      <c r="C221" s="298"/>
      <c r="D221" s="299"/>
      <c r="E221" s="295"/>
      <c r="F221" s="295"/>
      <c r="G221" s="300"/>
      <c r="H221" s="295"/>
    </row>
    <row r="222" spans="1:9">
      <c r="A222" s="281" t="s">
        <v>339</v>
      </c>
      <c r="B222" s="295"/>
      <c r="C222" s="298"/>
      <c r="D222" s="299"/>
      <c r="E222" s="295"/>
      <c r="F222" s="295"/>
      <c r="G222" s="300"/>
      <c r="H222" s="295"/>
    </row>
    <row r="223" spans="1:9">
      <c r="A223" s="277"/>
      <c r="B223" s="295" t="s">
        <v>340</v>
      </c>
      <c r="C223" s="298"/>
      <c r="D223" s="299"/>
      <c r="E223" s="295"/>
      <c r="F223" s="295"/>
      <c r="G223" s="300"/>
      <c r="H223" s="295"/>
    </row>
    <row r="224" spans="1:9">
      <c r="A224" s="277"/>
      <c r="B224" s="295"/>
      <c r="C224" s="298"/>
      <c r="D224" s="299"/>
      <c r="E224" s="295"/>
      <c r="F224" s="295"/>
      <c r="G224" s="300"/>
      <c r="H224" s="295"/>
    </row>
    <row r="225" spans="1:9">
      <c r="A225" s="281" t="s">
        <v>341</v>
      </c>
      <c r="B225" s="295"/>
      <c r="C225" s="298"/>
      <c r="D225" s="299"/>
      <c r="E225" s="295"/>
      <c r="F225" s="295"/>
      <c r="G225" s="300"/>
      <c r="H225" s="295"/>
    </row>
    <row r="226" spans="1:9">
      <c r="A226" s="277"/>
      <c r="B226" s="295"/>
      <c r="C226" s="295" t="s">
        <v>348</v>
      </c>
      <c r="D226" s="295"/>
      <c r="E226" s="295"/>
      <c r="F226" s="295"/>
      <c r="G226" s="297"/>
      <c r="H226" s="295"/>
    </row>
    <row r="227" spans="1:9">
      <c r="A227" s="277"/>
      <c r="B227" s="295"/>
      <c r="C227" s="295"/>
      <c r="D227" s="295"/>
      <c r="E227" s="295"/>
      <c r="F227" s="295"/>
      <c r="G227" s="297"/>
      <c r="H227" s="295"/>
      <c r="I227" s="299"/>
    </row>
    <row r="228" spans="1:9">
      <c r="A228" s="277" t="s">
        <v>407</v>
      </c>
      <c r="B228" s="295"/>
      <c r="C228" s="295"/>
      <c r="D228" s="295"/>
      <c r="E228" s="295"/>
      <c r="F228" s="295"/>
      <c r="G228" s="297"/>
      <c r="H228" s="295"/>
    </row>
    <row r="229" spans="1:9" ht="18.75" customHeight="1">
      <c r="A229" s="277"/>
      <c r="B229" s="961" t="s">
        <v>456</v>
      </c>
      <c r="C229" s="961"/>
      <c r="D229" s="961"/>
      <c r="E229" s="961"/>
      <c r="F229" s="961"/>
      <c r="G229" s="961"/>
      <c r="H229" s="961"/>
      <c r="I229" s="961"/>
    </row>
    <row r="230" spans="1:9">
      <c r="A230" s="277"/>
      <c r="B230" s="961"/>
      <c r="C230" s="961"/>
      <c r="D230" s="961"/>
      <c r="E230" s="961"/>
      <c r="F230" s="961"/>
      <c r="G230" s="961"/>
      <c r="H230" s="961"/>
      <c r="I230" s="961"/>
    </row>
    <row r="231" spans="1:9">
      <c r="A231" s="277"/>
      <c r="B231" s="961"/>
      <c r="C231" s="961"/>
      <c r="D231" s="961"/>
      <c r="E231" s="961"/>
      <c r="F231" s="961"/>
      <c r="G231" s="961"/>
      <c r="H231" s="961"/>
      <c r="I231" s="961"/>
    </row>
    <row r="232" spans="1:9">
      <c r="A232" s="277"/>
      <c r="B232" s="961"/>
      <c r="C232" s="961"/>
      <c r="D232" s="961"/>
      <c r="E232" s="961"/>
      <c r="F232" s="961"/>
      <c r="G232" s="961"/>
      <c r="H232" s="961"/>
      <c r="I232" s="961"/>
    </row>
    <row r="233" spans="1:9">
      <c r="A233" s="277"/>
      <c r="B233" s="961"/>
      <c r="C233" s="961"/>
      <c r="D233" s="961"/>
      <c r="E233" s="961"/>
      <c r="F233" s="961"/>
      <c r="G233" s="961"/>
      <c r="H233" s="961"/>
      <c r="I233" s="961"/>
    </row>
    <row r="234" spans="1:9">
      <c r="A234" s="277"/>
      <c r="B234" s="1005" t="s">
        <v>409</v>
      </c>
      <c r="C234" s="1005"/>
      <c r="D234" s="1005"/>
      <c r="E234" s="1005"/>
      <c r="F234" s="1005"/>
      <c r="G234" s="1005"/>
      <c r="H234" s="1005"/>
      <c r="I234" s="1005"/>
    </row>
    <row r="235" spans="1:9" ht="18" customHeight="1">
      <c r="A235" s="295"/>
      <c r="B235" s="972" t="s">
        <v>354</v>
      </c>
      <c r="C235" s="972"/>
      <c r="D235" s="972"/>
      <c r="E235" s="972" t="s">
        <v>355</v>
      </c>
      <c r="F235" s="972"/>
      <c r="G235" s="972"/>
      <c r="H235" s="972"/>
      <c r="I235" s="972"/>
    </row>
    <row r="236" spans="1:9" ht="18" customHeight="1">
      <c r="A236" s="295"/>
      <c r="B236" s="972" t="s">
        <v>356</v>
      </c>
      <c r="C236" s="972"/>
      <c r="D236" s="972"/>
      <c r="E236" s="966" t="s">
        <v>573</v>
      </c>
      <c r="F236" s="966"/>
      <c r="G236" s="966"/>
      <c r="H236" s="966"/>
      <c r="I236" s="966"/>
    </row>
    <row r="237" spans="1:9" ht="18" customHeight="1">
      <c r="A237" s="295"/>
      <c r="B237" s="968" t="s">
        <v>357</v>
      </c>
      <c r="C237" s="968"/>
      <c r="D237" s="968"/>
      <c r="E237" s="966" t="s">
        <v>358</v>
      </c>
      <c r="F237" s="966"/>
      <c r="G237" s="966"/>
      <c r="H237" s="966"/>
      <c r="I237" s="966"/>
    </row>
    <row r="238" spans="1:9" ht="18" customHeight="1">
      <c r="A238" s="295"/>
      <c r="B238" s="972" t="s">
        <v>359</v>
      </c>
      <c r="C238" s="972"/>
      <c r="D238" s="972"/>
      <c r="E238" s="967" t="s">
        <v>574</v>
      </c>
      <c r="F238" s="967"/>
      <c r="G238" s="967"/>
      <c r="H238" s="967"/>
      <c r="I238" s="967"/>
    </row>
    <row r="239" spans="1:9" ht="18" customHeight="1">
      <c r="A239" s="295"/>
      <c r="B239" s="972" t="s">
        <v>360</v>
      </c>
      <c r="C239" s="972"/>
      <c r="D239" s="972"/>
      <c r="E239" s="966" t="s">
        <v>382</v>
      </c>
      <c r="F239" s="966"/>
      <c r="G239" s="966"/>
      <c r="H239" s="966"/>
      <c r="I239" s="966"/>
    </row>
    <row r="240" spans="1:9" ht="18" customHeight="1">
      <c r="A240" s="295"/>
      <c r="B240" s="972" t="s">
        <v>361</v>
      </c>
      <c r="C240" s="972"/>
      <c r="D240" s="972"/>
      <c r="E240" s="966" t="s">
        <v>383</v>
      </c>
      <c r="F240" s="966"/>
      <c r="G240" s="966"/>
      <c r="H240" s="966"/>
      <c r="I240" s="966"/>
    </row>
    <row r="241" spans="1:9" ht="18" customHeight="1">
      <c r="A241" s="295"/>
      <c r="B241" s="972" t="s">
        <v>362</v>
      </c>
      <c r="C241" s="972"/>
      <c r="D241" s="972"/>
      <c r="E241" s="967" t="s">
        <v>575</v>
      </c>
      <c r="F241" s="967"/>
      <c r="G241" s="967"/>
      <c r="H241" s="967"/>
      <c r="I241" s="967"/>
    </row>
    <row r="242" spans="1:9" ht="35.450000000000003" customHeight="1">
      <c r="A242" s="295"/>
      <c r="B242" s="972" t="s">
        <v>363</v>
      </c>
      <c r="C242" s="972"/>
      <c r="D242" s="972"/>
      <c r="E242" s="967" t="s">
        <v>576</v>
      </c>
      <c r="F242" s="967"/>
      <c r="G242" s="967"/>
      <c r="H242" s="967"/>
      <c r="I242" s="967"/>
    </row>
    <row r="243" spans="1:9" ht="18" customHeight="1">
      <c r="A243" s="295"/>
      <c r="B243" s="972" t="s">
        <v>364</v>
      </c>
      <c r="C243" s="972"/>
      <c r="D243" s="972"/>
      <c r="E243" s="966" t="s">
        <v>384</v>
      </c>
      <c r="F243" s="966"/>
      <c r="G243" s="966"/>
      <c r="H243" s="966"/>
      <c r="I243" s="966"/>
    </row>
    <row r="244" spans="1:9" ht="18" customHeight="1">
      <c r="A244" s="295"/>
      <c r="B244" s="972" t="s">
        <v>365</v>
      </c>
      <c r="C244" s="972"/>
      <c r="D244" s="972"/>
      <c r="E244" s="966" t="s">
        <v>358</v>
      </c>
      <c r="F244" s="966"/>
      <c r="G244" s="966"/>
      <c r="H244" s="966"/>
      <c r="I244" s="966"/>
    </row>
    <row r="245" spans="1:9" ht="18" customHeight="1">
      <c r="A245" s="295"/>
      <c r="B245" s="972" t="s">
        <v>366</v>
      </c>
      <c r="C245" s="972"/>
      <c r="D245" s="972"/>
      <c r="E245" s="966" t="s">
        <v>358</v>
      </c>
      <c r="F245" s="966"/>
      <c r="G245" s="966"/>
      <c r="H245" s="966"/>
      <c r="I245" s="966"/>
    </row>
    <row r="246" spans="1:9" ht="27.6" customHeight="1">
      <c r="A246" s="295"/>
      <c r="B246" s="972" t="s">
        <v>367</v>
      </c>
      <c r="C246" s="972"/>
      <c r="D246" s="972"/>
      <c r="E246" s="966" t="s">
        <v>385</v>
      </c>
      <c r="F246" s="966"/>
      <c r="G246" s="966"/>
      <c r="H246" s="966"/>
      <c r="I246" s="966"/>
    </row>
    <row r="247" spans="1:9" ht="18" customHeight="1">
      <c r="A247" s="295"/>
      <c r="B247" s="972" t="s">
        <v>368</v>
      </c>
      <c r="C247" s="972"/>
      <c r="D247" s="972"/>
      <c r="E247" s="966" t="s">
        <v>358</v>
      </c>
      <c r="F247" s="966"/>
      <c r="G247" s="966"/>
      <c r="H247" s="966"/>
      <c r="I247" s="966"/>
    </row>
    <row r="248" spans="1:9" ht="39" customHeight="1">
      <c r="A248" s="295"/>
      <c r="B248" s="972" t="s">
        <v>369</v>
      </c>
      <c r="C248" s="972"/>
      <c r="D248" s="972"/>
      <c r="E248" s="966" t="s">
        <v>370</v>
      </c>
      <c r="F248" s="966"/>
      <c r="G248" s="966"/>
      <c r="H248" s="966"/>
      <c r="I248" s="966"/>
    </row>
    <row r="249" spans="1:9" ht="51" customHeight="1">
      <c r="A249" s="295"/>
      <c r="B249" s="972" t="s">
        <v>371</v>
      </c>
      <c r="C249" s="972"/>
      <c r="D249" s="972"/>
      <c r="E249" s="966" t="s">
        <v>372</v>
      </c>
      <c r="F249" s="966"/>
      <c r="G249" s="966"/>
      <c r="H249" s="966"/>
      <c r="I249" s="966"/>
    </row>
    <row r="250" spans="1:9" ht="135.6" customHeight="1">
      <c r="A250" s="295"/>
      <c r="B250" s="972" t="s">
        <v>373</v>
      </c>
      <c r="C250" s="972"/>
      <c r="D250" s="972"/>
      <c r="E250" s="966" t="s">
        <v>374</v>
      </c>
      <c r="F250" s="966"/>
      <c r="G250" s="966"/>
      <c r="H250" s="966"/>
      <c r="I250" s="966"/>
    </row>
    <row r="251" spans="1:9" ht="26.45" customHeight="1">
      <c r="A251" s="295"/>
      <c r="B251" s="972" t="s">
        <v>375</v>
      </c>
      <c r="C251" s="972"/>
      <c r="D251" s="972"/>
      <c r="E251" s="966" t="s">
        <v>376</v>
      </c>
      <c r="F251" s="966"/>
      <c r="G251" s="966"/>
      <c r="H251" s="966"/>
      <c r="I251" s="966"/>
    </row>
    <row r="252" spans="1:9" ht="30" customHeight="1">
      <c r="A252" s="295"/>
      <c r="B252" s="972" t="s">
        <v>377</v>
      </c>
      <c r="C252" s="972"/>
      <c r="D252" s="972"/>
      <c r="E252" s="966" t="s">
        <v>577</v>
      </c>
      <c r="F252" s="966"/>
      <c r="G252" s="966"/>
      <c r="H252" s="966"/>
      <c r="I252" s="966"/>
    </row>
    <row r="253" spans="1:9" ht="18.600000000000001" customHeight="1">
      <c r="A253" s="295"/>
      <c r="B253" s="972" t="s">
        <v>378</v>
      </c>
      <c r="C253" s="972"/>
      <c r="D253" s="972"/>
      <c r="E253" s="966" t="s">
        <v>379</v>
      </c>
      <c r="F253" s="966"/>
      <c r="G253" s="966"/>
      <c r="H253" s="966"/>
      <c r="I253" s="966"/>
    </row>
    <row r="254" spans="1:9" ht="18.600000000000001" customHeight="1">
      <c r="A254" s="295"/>
      <c r="B254" s="972"/>
      <c r="C254" s="972"/>
      <c r="D254" s="972"/>
      <c r="E254" s="967" t="s">
        <v>380</v>
      </c>
      <c r="F254" s="967"/>
      <c r="G254" s="967"/>
      <c r="H254" s="967"/>
      <c r="I254" s="967"/>
    </row>
    <row r="255" spans="1:9" ht="18.600000000000001" customHeight="1">
      <c r="A255" s="295"/>
      <c r="B255" s="972"/>
      <c r="C255" s="972"/>
      <c r="D255" s="972"/>
      <c r="E255" s="967" t="s">
        <v>381</v>
      </c>
      <c r="F255" s="967"/>
      <c r="G255" s="967"/>
      <c r="H255" s="967"/>
      <c r="I255" s="967"/>
    </row>
    <row r="256" spans="1:9">
      <c r="B256" s="1034" t="s">
        <v>478</v>
      </c>
      <c r="C256" s="1034"/>
      <c r="D256" s="1034"/>
      <c r="E256" s="1034"/>
      <c r="F256" s="1034"/>
      <c r="G256" s="1034"/>
      <c r="H256" s="1034"/>
      <c r="I256" s="1034"/>
    </row>
    <row r="257" spans="2:9">
      <c r="H257" s="2"/>
      <c r="I257" s="297"/>
    </row>
    <row r="258" spans="2:9">
      <c r="B258" s="1033" t="s">
        <v>479</v>
      </c>
      <c r="C258" s="1033"/>
      <c r="D258" s="1033"/>
      <c r="E258" s="1033"/>
      <c r="F258" s="1033"/>
      <c r="G258" s="1033"/>
      <c r="H258" s="1033"/>
      <c r="I258" s="1033"/>
    </row>
    <row r="259" spans="2:9">
      <c r="B259" s="972" t="s">
        <v>354</v>
      </c>
      <c r="C259" s="972"/>
      <c r="D259" s="972"/>
      <c r="E259" s="972" t="s">
        <v>355</v>
      </c>
      <c r="F259" s="972"/>
      <c r="G259" s="972"/>
      <c r="H259" s="972"/>
      <c r="I259" s="972"/>
    </row>
    <row r="260" spans="2:9">
      <c r="B260" s="972"/>
      <c r="C260" s="972"/>
      <c r="D260" s="972"/>
      <c r="E260" s="294" t="s">
        <v>480</v>
      </c>
      <c r="F260" s="972" t="s">
        <v>481</v>
      </c>
      <c r="G260" s="972"/>
      <c r="H260" s="972" t="s">
        <v>482</v>
      </c>
      <c r="I260" s="972"/>
    </row>
    <row r="261" spans="2:9" ht="57.75" customHeight="1">
      <c r="B261" s="972" t="s">
        <v>356</v>
      </c>
      <c r="C261" s="972"/>
      <c r="D261" s="972"/>
      <c r="E261" s="334" t="s">
        <v>483</v>
      </c>
      <c r="F261" s="990" t="s">
        <v>484</v>
      </c>
      <c r="G261" s="990"/>
      <c r="H261" s="990" t="s">
        <v>485</v>
      </c>
      <c r="I261" s="990"/>
    </row>
    <row r="262" spans="2:9" ht="18.75" customHeight="1">
      <c r="B262" s="972" t="s">
        <v>359</v>
      </c>
      <c r="C262" s="972"/>
      <c r="D262" s="972"/>
      <c r="E262" s="334" t="s">
        <v>483</v>
      </c>
      <c r="F262" s="990" t="s">
        <v>486</v>
      </c>
      <c r="G262" s="990"/>
      <c r="H262" s="990" t="s">
        <v>487</v>
      </c>
      <c r="I262" s="990"/>
    </row>
    <row r="263" spans="2:9" ht="18.75" customHeight="1">
      <c r="B263" s="972" t="s">
        <v>488</v>
      </c>
      <c r="C263" s="972"/>
      <c r="D263" s="972"/>
      <c r="E263" s="334" t="s">
        <v>483</v>
      </c>
      <c r="F263" s="990" t="s">
        <v>489</v>
      </c>
      <c r="G263" s="990"/>
      <c r="H263" s="990" t="s">
        <v>487</v>
      </c>
      <c r="I263" s="990"/>
    </row>
    <row r="264" spans="2:9" ht="18.75" customHeight="1">
      <c r="B264" s="972" t="s">
        <v>490</v>
      </c>
      <c r="C264" s="972"/>
      <c r="D264" s="972"/>
      <c r="E264" s="334" t="s">
        <v>483</v>
      </c>
      <c r="F264" s="990" t="s">
        <v>491</v>
      </c>
      <c r="G264" s="990"/>
      <c r="H264" s="990" t="s">
        <v>487</v>
      </c>
      <c r="I264" s="990"/>
    </row>
    <row r="265" spans="2:9" ht="27" customHeight="1">
      <c r="B265" s="972" t="s">
        <v>492</v>
      </c>
      <c r="C265" s="972"/>
      <c r="D265" s="972"/>
      <c r="E265" s="335" t="s">
        <v>491</v>
      </c>
      <c r="F265" s="990" t="s">
        <v>487</v>
      </c>
      <c r="G265" s="990"/>
      <c r="H265" s="990" t="s">
        <v>493</v>
      </c>
      <c r="I265" s="990"/>
    </row>
    <row r="266" spans="2:9">
      <c r="B266" t="s">
        <v>494</v>
      </c>
      <c r="H266" s="2"/>
      <c r="I266" s="297"/>
    </row>
  </sheetData>
  <sheetProtection algorithmName="SHA-512" hashValue="UPSBQA4gdG+ktObXQdOMnqm+sTV8sIJ1POqpoaT6U+0yveWGx8aVJxxkJBtP9YFlaPGR4yQETtKyvXQZqDsgCw==" saltValue="4V8LFEbvHdBwbJnJBV4zXQ==" spinCount="100000" sheet="1" objects="1" scenarios="1"/>
  <mergeCells count="230">
    <mergeCell ref="B253:D255"/>
    <mergeCell ref="B252:D252"/>
    <mergeCell ref="B251:D251"/>
    <mergeCell ref="B250:D250"/>
    <mergeCell ref="B248:D248"/>
    <mergeCell ref="B249:D249"/>
    <mergeCell ref="B238:D238"/>
    <mergeCell ref="B247:D247"/>
    <mergeCell ref="B246:D246"/>
    <mergeCell ref="B245:D245"/>
    <mergeCell ref="B244:D244"/>
    <mergeCell ref="B243:D243"/>
    <mergeCell ref="B242:D242"/>
    <mergeCell ref="B241:D241"/>
    <mergeCell ref="B240:D240"/>
    <mergeCell ref="B239:D239"/>
    <mergeCell ref="B129:C129"/>
    <mergeCell ref="E52:I52"/>
    <mergeCell ref="A73:I74"/>
    <mergeCell ref="G79:I79"/>
    <mergeCell ref="G78:I78"/>
    <mergeCell ref="B25:D25"/>
    <mergeCell ref="B76:I76"/>
    <mergeCell ref="G77:I77"/>
    <mergeCell ref="B65:D65"/>
    <mergeCell ref="B66:D66"/>
    <mergeCell ref="B62:D62"/>
    <mergeCell ref="B64:D64"/>
    <mergeCell ref="B63:D63"/>
    <mergeCell ref="B51:I51"/>
    <mergeCell ref="B61:D61"/>
    <mergeCell ref="E61:I61"/>
    <mergeCell ref="B86:C86"/>
    <mergeCell ref="B87:C87"/>
    <mergeCell ref="G81:I81"/>
    <mergeCell ref="B104:I104"/>
    <mergeCell ref="G114:I114"/>
    <mergeCell ref="G113:I113"/>
    <mergeCell ref="G112:I112"/>
    <mergeCell ref="G111:I111"/>
    <mergeCell ref="B18:D18"/>
    <mergeCell ref="B22:D22"/>
    <mergeCell ref="B84:C85"/>
    <mergeCell ref="D84:D85"/>
    <mergeCell ref="B55:D55"/>
    <mergeCell ref="B23:D23"/>
    <mergeCell ref="B20:D20"/>
    <mergeCell ref="B24:D24"/>
    <mergeCell ref="G80:I80"/>
    <mergeCell ref="B52:D52"/>
    <mergeCell ref="B53:D53"/>
    <mergeCell ref="B54:D54"/>
    <mergeCell ref="B77:D77"/>
    <mergeCell ref="D79:D80"/>
    <mergeCell ref="B78:C80"/>
    <mergeCell ref="B19:D19"/>
    <mergeCell ref="B21:D21"/>
    <mergeCell ref="B32:J32"/>
    <mergeCell ref="E55:I55"/>
    <mergeCell ref="E54:I54"/>
    <mergeCell ref="E53:I53"/>
    <mergeCell ref="G84:I84"/>
    <mergeCell ref="G83:I83"/>
    <mergeCell ref="G82:I82"/>
    <mergeCell ref="B130:C130"/>
    <mergeCell ref="B131:C131"/>
    <mergeCell ref="B151:C151"/>
    <mergeCell ref="B132:C132"/>
    <mergeCell ref="B149:C149"/>
    <mergeCell ref="B150:C150"/>
    <mergeCell ref="E181:I181"/>
    <mergeCell ref="E180:I180"/>
    <mergeCell ref="E179:I179"/>
    <mergeCell ref="E178:I178"/>
    <mergeCell ref="E177:I177"/>
    <mergeCell ref="E176:I176"/>
    <mergeCell ref="D132:I132"/>
    <mergeCell ref="D131:I131"/>
    <mergeCell ref="D130:I130"/>
    <mergeCell ref="B175:D175"/>
    <mergeCell ref="B176:D176"/>
    <mergeCell ref="B152:C152"/>
    <mergeCell ref="B153:C153"/>
    <mergeCell ref="D153:I153"/>
    <mergeCell ref="D149:I149"/>
    <mergeCell ref="D152:I152"/>
    <mergeCell ref="D151:I151"/>
    <mergeCell ref="D150:I150"/>
    <mergeCell ref="G110:I110"/>
    <mergeCell ref="G109:I109"/>
    <mergeCell ref="G108:I108"/>
    <mergeCell ref="G107:I107"/>
    <mergeCell ref="G106:I106"/>
    <mergeCell ref="B113:C113"/>
    <mergeCell ref="B101:C101"/>
    <mergeCell ref="B98:C98"/>
    <mergeCell ref="B99:C99"/>
    <mergeCell ref="B100:C100"/>
    <mergeCell ref="G87:I87"/>
    <mergeCell ref="G86:I86"/>
    <mergeCell ref="G85:I85"/>
    <mergeCell ref="B114:C114"/>
    <mergeCell ref="B81:C83"/>
    <mergeCell ref="F263:G263"/>
    <mergeCell ref="H263:I263"/>
    <mergeCell ref="B264:D264"/>
    <mergeCell ref="F264:G264"/>
    <mergeCell ref="H264:I264"/>
    <mergeCell ref="B220:C220"/>
    <mergeCell ref="B258:I258"/>
    <mergeCell ref="B259:D260"/>
    <mergeCell ref="E259:I259"/>
    <mergeCell ref="F260:G260"/>
    <mergeCell ref="H260:I260"/>
    <mergeCell ref="B261:D261"/>
    <mergeCell ref="F261:G261"/>
    <mergeCell ref="H261:I261"/>
    <mergeCell ref="E238:I238"/>
    <mergeCell ref="E237:I237"/>
    <mergeCell ref="E236:I236"/>
    <mergeCell ref="E235:I235"/>
    <mergeCell ref="B256:I256"/>
    <mergeCell ref="E255:I255"/>
    <mergeCell ref="E254:I254"/>
    <mergeCell ref="E253:I253"/>
    <mergeCell ref="B229:I233"/>
    <mergeCell ref="B234:I234"/>
    <mergeCell ref="B265:D265"/>
    <mergeCell ref="F265:G265"/>
    <mergeCell ref="H265:I265"/>
    <mergeCell ref="A2:I2"/>
    <mergeCell ref="A5:I9"/>
    <mergeCell ref="B10:I11"/>
    <mergeCell ref="B17:I17"/>
    <mergeCell ref="E25:I25"/>
    <mergeCell ref="E24:I24"/>
    <mergeCell ref="E23:I23"/>
    <mergeCell ref="E22:I22"/>
    <mergeCell ref="E21:I21"/>
    <mergeCell ref="E20:I20"/>
    <mergeCell ref="E19:I19"/>
    <mergeCell ref="E18:I18"/>
    <mergeCell ref="E66:I66"/>
    <mergeCell ref="E65:I65"/>
    <mergeCell ref="E64:I64"/>
    <mergeCell ref="E63:I63"/>
    <mergeCell ref="E62:I62"/>
    <mergeCell ref="B262:D262"/>
    <mergeCell ref="F262:G262"/>
    <mergeCell ref="H262:I262"/>
    <mergeCell ref="B263:D263"/>
    <mergeCell ref="B93:I93"/>
    <mergeCell ref="D101:I101"/>
    <mergeCell ref="D100:I100"/>
    <mergeCell ref="D99:I99"/>
    <mergeCell ref="D98:I98"/>
    <mergeCell ref="D97:I97"/>
    <mergeCell ref="B103:I103"/>
    <mergeCell ref="G105:I105"/>
    <mergeCell ref="B124:I124"/>
    <mergeCell ref="B123:I123"/>
    <mergeCell ref="B122:I122"/>
    <mergeCell ref="B121:I121"/>
    <mergeCell ref="D111:D112"/>
    <mergeCell ref="B106:C112"/>
    <mergeCell ref="B97:C97"/>
    <mergeCell ref="B105:D105"/>
    <mergeCell ref="B177:D177"/>
    <mergeCell ref="B178:D178"/>
    <mergeCell ref="B216:C216"/>
    <mergeCell ref="B218:C218"/>
    <mergeCell ref="B202:I202"/>
    <mergeCell ref="B201:I201"/>
    <mergeCell ref="B179:D179"/>
    <mergeCell ref="B180:D180"/>
    <mergeCell ref="B181:D181"/>
    <mergeCell ref="B200:I200"/>
    <mergeCell ref="B185:I185"/>
    <mergeCell ref="B186:I186"/>
    <mergeCell ref="B197:I197"/>
    <mergeCell ref="B198:I198"/>
    <mergeCell ref="B199:I199"/>
    <mergeCell ref="D217:I217"/>
    <mergeCell ref="D216:I216"/>
    <mergeCell ref="B217:C217"/>
    <mergeCell ref="D218:I218"/>
    <mergeCell ref="D219:I219"/>
    <mergeCell ref="E243:I243"/>
    <mergeCell ref="E242:I242"/>
    <mergeCell ref="E241:I241"/>
    <mergeCell ref="E240:I240"/>
    <mergeCell ref="B237:D237"/>
    <mergeCell ref="E252:I252"/>
    <mergeCell ref="E251:I251"/>
    <mergeCell ref="E250:I250"/>
    <mergeCell ref="E249:I249"/>
    <mergeCell ref="E248:I248"/>
    <mergeCell ref="E247:I247"/>
    <mergeCell ref="E246:I246"/>
    <mergeCell ref="E245:I245"/>
    <mergeCell ref="E244:I244"/>
    <mergeCell ref="E239:I239"/>
    <mergeCell ref="D220:I220"/>
    <mergeCell ref="B236:D236"/>
    <mergeCell ref="B235:D235"/>
    <mergeCell ref="B219:C219"/>
    <mergeCell ref="B174:I174"/>
    <mergeCell ref="B215:I215"/>
    <mergeCell ref="B96:I96"/>
    <mergeCell ref="B128:I128"/>
    <mergeCell ref="B148:I148"/>
    <mergeCell ref="B56:D56"/>
    <mergeCell ref="E56:I56"/>
    <mergeCell ref="B57:D57"/>
    <mergeCell ref="E57:I57"/>
    <mergeCell ref="B58:D58"/>
    <mergeCell ref="E58:I58"/>
    <mergeCell ref="B59:D59"/>
    <mergeCell ref="E59:I59"/>
    <mergeCell ref="B60:D60"/>
    <mergeCell ref="E60:I60"/>
    <mergeCell ref="D129:I129"/>
    <mergeCell ref="E175:I175"/>
    <mergeCell ref="B192:I192"/>
    <mergeCell ref="B190:I190"/>
    <mergeCell ref="B189:I189"/>
    <mergeCell ref="B187:I187"/>
    <mergeCell ref="B191:I191"/>
    <mergeCell ref="B188:I188"/>
    <mergeCell ref="B196:I196"/>
  </mergeCells>
  <phoneticPr fontId="1"/>
  <pageMargins left="0.7" right="0.7" top="0.75" bottom="0.75" header="0.3" footer="0.3"/>
  <pageSetup paperSize="9" scale="73" fitToHeight="0" orientation="portrait" r:id="rId1"/>
  <headerFooter>
    <oddFooter>&amp;C&amp;P</oddFooter>
  </headerFooter>
  <rowBreaks count="6" manualBreakCount="6">
    <brk id="41" max="9" man="1"/>
    <brk id="83" max="9" man="1"/>
    <brk id="117" max="9" man="1"/>
    <brk id="160" max="9" man="1"/>
    <brk id="203" max="9" man="1"/>
    <brk id="249"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表計算ツール入力例</vt:lpstr>
      <vt:lpstr>表計算ツール（平屋建て）</vt:lpstr>
      <vt:lpstr>表計算ツール（2階建て）</vt:lpstr>
      <vt:lpstr>更新履歴</vt:lpstr>
      <vt:lpstr>柱の圧縮基準強度</vt:lpstr>
      <vt:lpstr>表計算ツールの解説・注意事項</vt:lpstr>
      <vt:lpstr>JASA種構造用単板積層材</vt:lpstr>
      <vt:lpstr>JAS機械等級区分構造用製材</vt:lpstr>
      <vt:lpstr>JAS同一等級構成集成材</vt:lpstr>
      <vt:lpstr>JAS目視等級区分構造用製材</vt:lpstr>
      <vt:lpstr>LVL</vt:lpstr>
      <vt:lpstr>'表計算ツール（2階建て）'!Print_Area</vt:lpstr>
      <vt:lpstr>'表計算ツール（平屋建て）'!Print_Area</vt:lpstr>
      <vt:lpstr>表計算ツールの解説・注意事項!Print_Area</vt:lpstr>
      <vt:lpstr>表計算ツール入力例!Print_Area</vt:lpstr>
      <vt:lpstr>機械</vt:lpstr>
      <vt:lpstr>集成材</vt:lpstr>
      <vt:lpstr>無等級</vt:lpstr>
      <vt:lpstr>無等級材</vt:lpstr>
      <vt:lpstr>目視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user-003</dc:creator>
  <cp:lastModifiedBy>9900266</cp:lastModifiedBy>
  <cp:lastPrinted>2024-07-16T01:11:58Z</cp:lastPrinted>
  <dcterms:created xsi:type="dcterms:W3CDTF">2015-06-05T18:19:34Z</dcterms:created>
  <dcterms:modified xsi:type="dcterms:W3CDTF">2024-07-17T08:14:54Z</dcterms:modified>
</cp:coreProperties>
</file>