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台帳（病院）全て" sheetId="1" r:id="rId1"/>
  </sheets>
  <definedNames>
    <definedName name="_xlnm._FilterDatabase" localSheetId="0" hidden="1">'台帳（病院）全て'!$B$2:$BB$115</definedName>
  </definedNames>
  <calcPr calcId="162913"/>
</workbook>
</file>

<file path=xl/calcChain.xml><?xml version="1.0" encoding="utf-8"?>
<calcChain xmlns="http://schemas.openxmlformats.org/spreadsheetml/2006/main">
  <c r="G48" i="1" l="1"/>
  <c r="H115" i="1" l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C5" i="1" l="1"/>
  <c r="D5" i="1"/>
  <c r="F5" i="1"/>
  <c r="G5" i="1"/>
  <c r="I5" i="1"/>
  <c r="C6" i="1"/>
  <c r="D6" i="1"/>
  <c r="F6" i="1"/>
  <c r="G6" i="1"/>
  <c r="I6" i="1"/>
  <c r="C7" i="1"/>
  <c r="D7" i="1"/>
  <c r="F7" i="1"/>
  <c r="G7" i="1"/>
  <c r="I7" i="1"/>
  <c r="C8" i="1"/>
  <c r="D8" i="1"/>
  <c r="F8" i="1"/>
  <c r="G8" i="1"/>
  <c r="I8" i="1"/>
  <c r="C9" i="1"/>
  <c r="D9" i="1"/>
  <c r="F9" i="1"/>
  <c r="G9" i="1"/>
  <c r="I9" i="1"/>
  <c r="C10" i="1"/>
  <c r="D10" i="1"/>
  <c r="F10" i="1"/>
  <c r="G10" i="1"/>
  <c r="I10" i="1"/>
  <c r="B11" i="1"/>
  <c r="C11" i="1"/>
  <c r="D11" i="1"/>
  <c r="F11" i="1"/>
  <c r="G11" i="1"/>
  <c r="I11" i="1"/>
  <c r="B12" i="1"/>
  <c r="C12" i="1"/>
  <c r="D12" i="1"/>
  <c r="F12" i="1"/>
  <c r="G12" i="1"/>
  <c r="I12" i="1"/>
  <c r="B13" i="1"/>
  <c r="C13" i="1"/>
  <c r="D13" i="1"/>
  <c r="F13" i="1"/>
  <c r="G13" i="1"/>
  <c r="I13" i="1"/>
  <c r="B14" i="1"/>
  <c r="C14" i="1"/>
  <c r="D14" i="1"/>
  <c r="F14" i="1"/>
  <c r="G14" i="1"/>
  <c r="I14" i="1"/>
  <c r="B15" i="1"/>
  <c r="C15" i="1"/>
  <c r="D15" i="1"/>
  <c r="F15" i="1"/>
  <c r="G15" i="1"/>
  <c r="I15" i="1"/>
  <c r="B16" i="1"/>
  <c r="C16" i="1"/>
  <c r="D16" i="1"/>
  <c r="F16" i="1"/>
  <c r="G16" i="1"/>
  <c r="I16" i="1"/>
  <c r="B17" i="1"/>
  <c r="C17" i="1"/>
  <c r="D17" i="1"/>
  <c r="F17" i="1"/>
  <c r="G17" i="1"/>
  <c r="I17" i="1"/>
  <c r="B18" i="1"/>
  <c r="C18" i="1"/>
  <c r="D18" i="1"/>
  <c r="F18" i="1"/>
  <c r="G18" i="1"/>
  <c r="I18" i="1"/>
  <c r="B19" i="1"/>
  <c r="C19" i="1"/>
  <c r="D19" i="1"/>
  <c r="F19" i="1"/>
  <c r="G19" i="1"/>
  <c r="I19" i="1"/>
  <c r="B20" i="1"/>
  <c r="C20" i="1"/>
  <c r="D20" i="1"/>
  <c r="F20" i="1"/>
  <c r="G20" i="1"/>
  <c r="I20" i="1"/>
  <c r="B21" i="1"/>
  <c r="C21" i="1"/>
  <c r="D21" i="1"/>
  <c r="F21" i="1"/>
  <c r="G21" i="1"/>
  <c r="I21" i="1"/>
  <c r="B22" i="1"/>
  <c r="C22" i="1"/>
  <c r="D22" i="1"/>
  <c r="F22" i="1"/>
  <c r="G22" i="1"/>
  <c r="I22" i="1"/>
  <c r="B23" i="1"/>
  <c r="C23" i="1"/>
  <c r="D23" i="1"/>
  <c r="F23" i="1"/>
  <c r="G23" i="1"/>
  <c r="I23" i="1"/>
  <c r="B24" i="1"/>
  <c r="C24" i="1"/>
  <c r="D24" i="1"/>
  <c r="F24" i="1"/>
  <c r="G24" i="1"/>
  <c r="I24" i="1"/>
  <c r="B25" i="1"/>
  <c r="C25" i="1"/>
  <c r="D25" i="1"/>
  <c r="F25" i="1"/>
  <c r="G25" i="1"/>
  <c r="I25" i="1"/>
  <c r="B26" i="1"/>
  <c r="C26" i="1"/>
  <c r="D26" i="1"/>
  <c r="F26" i="1"/>
  <c r="G26" i="1"/>
  <c r="I26" i="1"/>
  <c r="C27" i="1"/>
  <c r="D27" i="1"/>
  <c r="F27" i="1"/>
  <c r="G27" i="1"/>
  <c r="I27" i="1"/>
  <c r="C28" i="1"/>
  <c r="D28" i="1"/>
  <c r="F28" i="1"/>
  <c r="G28" i="1"/>
  <c r="I28" i="1"/>
  <c r="C29" i="1"/>
  <c r="D29" i="1"/>
  <c r="F29" i="1"/>
  <c r="G29" i="1"/>
  <c r="I29" i="1"/>
  <c r="C30" i="1"/>
  <c r="D30" i="1"/>
  <c r="F30" i="1"/>
  <c r="G30" i="1"/>
  <c r="I30" i="1"/>
  <c r="C31" i="1"/>
  <c r="D31" i="1"/>
  <c r="F31" i="1"/>
  <c r="G31" i="1"/>
  <c r="I31" i="1"/>
  <c r="C32" i="1"/>
  <c r="D32" i="1"/>
  <c r="F32" i="1"/>
  <c r="G32" i="1"/>
  <c r="I32" i="1"/>
  <c r="B33" i="1"/>
  <c r="C33" i="1"/>
  <c r="D33" i="1"/>
  <c r="F33" i="1"/>
  <c r="G33" i="1"/>
  <c r="I33" i="1"/>
  <c r="B34" i="1"/>
  <c r="C34" i="1"/>
  <c r="D34" i="1"/>
  <c r="F34" i="1"/>
  <c r="G34" i="1"/>
  <c r="I34" i="1"/>
  <c r="B35" i="1"/>
  <c r="C35" i="1"/>
  <c r="D35" i="1"/>
  <c r="F35" i="1"/>
  <c r="G35" i="1"/>
  <c r="I35" i="1"/>
  <c r="B36" i="1"/>
  <c r="C36" i="1"/>
  <c r="D36" i="1"/>
  <c r="F36" i="1"/>
  <c r="G36" i="1"/>
  <c r="I36" i="1"/>
  <c r="B37" i="1"/>
  <c r="C37" i="1"/>
  <c r="D37" i="1"/>
  <c r="F37" i="1"/>
  <c r="G37" i="1"/>
  <c r="I37" i="1"/>
  <c r="B38" i="1"/>
  <c r="C38" i="1"/>
  <c r="D38" i="1"/>
  <c r="F38" i="1"/>
  <c r="G38" i="1"/>
  <c r="I38" i="1"/>
  <c r="B39" i="1"/>
  <c r="C39" i="1"/>
  <c r="D39" i="1"/>
  <c r="F39" i="1"/>
  <c r="G39" i="1"/>
  <c r="I39" i="1"/>
  <c r="B40" i="1"/>
  <c r="C40" i="1"/>
  <c r="D40" i="1"/>
  <c r="F40" i="1"/>
  <c r="G40" i="1"/>
  <c r="I40" i="1"/>
  <c r="B41" i="1"/>
  <c r="C41" i="1"/>
  <c r="D41" i="1"/>
  <c r="F41" i="1"/>
  <c r="G41" i="1"/>
  <c r="I41" i="1"/>
  <c r="B42" i="1"/>
  <c r="C42" i="1"/>
  <c r="D42" i="1"/>
  <c r="F42" i="1"/>
  <c r="G42" i="1"/>
  <c r="I42" i="1"/>
  <c r="B43" i="1"/>
  <c r="C43" i="1"/>
  <c r="D43" i="1"/>
  <c r="F43" i="1"/>
  <c r="G43" i="1"/>
  <c r="I43" i="1"/>
  <c r="B44" i="1"/>
  <c r="C44" i="1"/>
  <c r="D44" i="1"/>
  <c r="F44" i="1"/>
  <c r="G44" i="1"/>
  <c r="I44" i="1"/>
  <c r="B45" i="1"/>
  <c r="C45" i="1"/>
  <c r="D45" i="1"/>
  <c r="F45" i="1"/>
  <c r="G45" i="1"/>
  <c r="I45" i="1"/>
  <c r="B46" i="1"/>
  <c r="C46" i="1"/>
  <c r="D46" i="1"/>
  <c r="F46" i="1"/>
  <c r="G46" i="1"/>
  <c r="I46" i="1"/>
  <c r="B47" i="1"/>
  <c r="C47" i="1"/>
  <c r="D47" i="1"/>
  <c r="F47" i="1"/>
  <c r="G47" i="1"/>
  <c r="I47" i="1"/>
  <c r="B48" i="1"/>
  <c r="C48" i="1"/>
  <c r="D48" i="1"/>
  <c r="F48" i="1"/>
  <c r="I48" i="1"/>
  <c r="B49" i="1"/>
  <c r="C49" i="1"/>
  <c r="D49" i="1"/>
  <c r="F49" i="1"/>
  <c r="G49" i="1"/>
  <c r="I49" i="1"/>
  <c r="B50" i="1"/>
  <c r="C50" i="1"/>
  <c r="D50" i="1"/>
  <c r="F50" i="1"/>
  <c r="G50" i="1"/>
  <c r="I50" i="1"/>
  <c r="B51" i="1"/>
  <c r="C51" i="1"/>
  <c r="D51" i="1"/>
  <c r="F51" i="1"/>
  <c r="G51" i="1"/>
  <c r="I51" i="1"/>
  <c r="B52" i="1"/>
  <c r="C52" i="1"/>
  <c r="D52" i="1"/>
  <c r="F52" i="1"/>
  <c r="G52" i="1"/>
  <c r="I52" i="1"/>
  <c r="B53" i="1"/>
  <c r="C53" i="1"/>
  <c r="D53" i="1"/>
  <c r="F53" i="1"/>
  <c r="G53" i="1"/>
  <c r="I53" i="1"/>
  <c r="B54" i="1"/>
  <c r="C54" i="1"/>
  <c r="D54" i="1"/>
  <c r="F54" i="1"/>
  <c r="G54" i="1"/>
  <c r="I54" i="1"/>
  <c r="B55" i="1"/>
  <c r="C55" i="1"/>
  <c r="D55" i="1"/>
  <c r="F55" i="1"/>
  <c r="G55" i="1"/>
  <c r="I55" i="1"/>
  <c r="C56" i="1"/>
  <c r="D56" i="1"/>
  <c r="F56" i="1"/>
  <c r="G56" i="1"/>
  <c r="I56" i="1"/>
  <c r="C57" i="1"/>
  <c r="D57" i="1"/>
  <c r="F57" i="1"/>
  <c r="G57" i="1"/>
  <c r="I57" i="1"/>
  <c r="C58" i="1"/>
  <c r="D58" i="1"/>
  <c r="F58" i="1"/>
  <c r="G58" i="1"/>
  <c r="I58" i="1"/>
  <c r="C59" i="1"/>
  <c r="D59" i="1"/>
  <c r="F59" i="1"/>
  <c r="G59" i="1"/>
  <c r="I59" i="1"/>
  <c r="C60" i="1"/>
  <c r="D60" i="1"/>
  <c r="F60" i="1"/>
  <c r="G60" i="1"/>
  <c r="I60" i="1"/>
  <c r="C61" i="1"/>
  <c r="D61" i="1"/>
  <c r="F61" i="1"/>
  <c r="G61" i="1"/>
  <c r="I61" i="1"/>
  <c r="C62" i="1"/>
  <c r="D62" i="1"/>
  <c r="F62" i="1"/>
  <c r="G62" i="1"/>
  <c r="I62" i="1"/>
  <c r="C63" i="1"/>
  <c r="D63" i="1"/>
  <c r="F63" i="1"/>
  <c r="G63" i="1"/>
  <c r="I63" i="1"/>
  <c r="C64" i="1"/>
  <c r="D64" i="1"/>
  <c r="F64" i="1"/>
  <c r="G64" i="1"/>
  <c r="I64" i="1"/>
  <c r="C65" i="1"/>
  <c r="D65" i="1"/>
  <c r="F65" i="1"/>
  <c r="G65" i="1"/>
  <c r="I65" i="1"/>
  <c r="C66" i="1"/>
  <c r="D66" i="1"/>
  <c r="F66" i="1"/>
  <c r="G66" i="1"/>
  <c r="I66" i="1"/>
  <c r="C67" i="1"/>
  <c r="D67" i="1"/>
  <c r="F67" i="1"/>
  <c r="G67" i="1"/>
  <c r="I67" i="1"/>
  <c r="C68" i="1"/>
  <c r="D68" i="1"/>
  <c r="F68" i="1"/>
  <c r="G68" i="1"/>
  <c r="I68" i="1"/>
  <c r="C69" i="1"/>
  <c r="D69" i="1"/>
  <c r="F69" i="1"/>
  <c r="G69" i="1"/>
  <c r="I69" i="1"/>
  <c r="C70" i="1"/>
  <c r="D70" i="1"/>
  <c r="F70" i="1"/>
  <c r="G70" i="1"/>
  <c r="I70" i="1"/>
  <c r="C71" i="1"/>
  <c r="D71" i="1"/>
  <c r="F71" i="1"/>
  <c r="G71" i="1"/>
  <c r="I71" i="1"/>
  <c r="C72" i="1"/>
  <c r="D72" i="1"/>
  <c r="F72" i="1"/>
  <c r="G72" i="1"/>
  <c r="I72" i="1"/>
  <c r="C73" i="1"/>
  <c r="D73" i="1"/>
  <c r="F73" i="1"/>
  <c r="G73" i="1"/>
  <c r="I73" i="1"/>
  <c r="C74" i="1"/>
  <c r="D74" i="1"/>
  <c r="F74" i="1"/>
  <c r="G74" i="1"/>
  <c r="I74" i="1"/>
  <c r="C75" i="1"/>
  <c r="D75" i="1"/>
  <c r="F75" i="1"/>
  <c r="G75" i="1"/>
  <c r="I75" i="1"/>
  <c r="C76" i="1"/>
  <c r="D76" i="1"/>
  <c r="F76" i="1"/>
  <c r="G76" i="1"/>
  <c r="I76" i="1"/>
  <c r="C77" i="1"/>
  <c r="D77" i="1"/>
  <c r="F77" i="1"/>
  <c r="G77" i="1"/>
  <c r="I77" i="1"/>
  <c r="C78" i="1"/>
  <c r="D78" i="1"/>
  <c r="F78" i="1"/>
  <c r="G78" i="1"/>
  <c r="I78" i="1"/>
  <c r="C79" i="1"/>
  <c r="D79" i="1"/>
  <c r="F79" i="1"/>
  <c r="G79" i="1"/>
  <c r="I79" i="1"/>
  <c r="C80" i="1"/>
  <c r="D80" i="1"/>
  <c r="F80" i="1"/>
  <c r="G80" i="1"/>
  <c r="I80" i="1"/>
  <c r="C81" i="1"/>
  <c r="D81" i="1"/>
  <c r="F81" i="1"/>
  <c r="G81" i="1"/>
  <c r="I81" i="1"/>
  <c r="C82" i="1"/>
  <c r="D82" i="1"/>
  <c r="F82" i="1"/>
  <c r="G82" i="1"/>
  <c r="I82" i="1"/>
  <c r="C83" i="1"/>
  <c r="D83" i="1"/>
  <c r="F83" i="1"/>
  <c r="G83" i="1"/>
  <c r="I83" i="1"/>
  <c r="C84" i="1"/>
  <c r="D84" i="1"/>
  <c r="F84" i="1"/>
  <c r="G84" i="1"/>
  <c r="I84" i="1"/>
  <c r="C85" i="1"/>
  <c r="D85" i="1"/>
  <c r="F85" i="1"/>
  <c r="G85" i="1"/>
  <c r="I85" i="1"/>
  <c r="C86" i="1"/>
  <c r="D86" i="1"/>
  <c r="F86" i="1"/>
  <c r="G86" i="1"/>
  <c r="I86" i="1"/>
  <c r="C87" i="1"/>
  <c r="D87" i="1"/>
  <c r="F87" i="1"/>
  <c r="G87" i="1"/>
  <c r="I87" i="1"/>
  <c r="B88" i="1"/>
  <c r="C88" i="1"/>
  <c r="D88" i="1"/>
  <c r="F88" i="1"/>
  <c r="G88" i="1"/>
  <c r="I88" i="1"/>
  <c r="B89" i="1"/>
  <c r="C89" i="1"/>
  <c r="D89" i="1"/>
  <c r="F89" i="1"/>
  <c r="G89" i="1"/>
  <c r="I89" i="1"/>
  <c r="B90" i="1"/>
  <c r="C90" i="1"/>
  <c r="D90" i="1"/>
  <c r="F90" i="1"/>
  <c r="G90" i="1"/>
  <c r="I90" i="1"/>
  <c r="B91" i="1"/>
  <c r="C91" i="1"/>
  <c r="D91" i="1"/>
  <c r="F91" i="1"/>
  <c r="G91" i="1"/>
  <c r="I91" i="1"/>
  <c r="B92" i="1"/>
  <c r="C92" i="1"/>
  <c r="D92" i="1"/>
  <c r="F92" i="1"/>
  <c r="G92" i="1"/>
  <c r="I92" i="1"/>
  <c r="B93" i="1"/>
  <c r="C93" i="1"/>
  <c r="D93" i="1"/>
  <c r="F93" i="1"/>
  <c r="G93" i="1"/>
  <c r="I93" i="1"/>
  <c r="B94" i="1"/>
  <c r="C94" i="1"/>
  <c r="D94" i="1"/>
  <c r="F94" i="1"/>
  <c r="G94" i="1"/>
  <c r="I94" i="1"/>
  <c r="B95" i="1"/>
  <c r="C95" i="1"/>
  <c r="D95" i="1"/>
  <c r="F95" i="1"/>
  <c r="G95" i="1"/>
  <c r="I95" i="1"/>
  <c r="B96" i="1"/>
  <c r="C96" i="1"/>
  <c r="D96" i="1"/>
  <c r="F96" i="1"/>
  <c r="G96" i="1"/>
  <c r="I96" i="1"/>
  <c r="B97" i="1"/>
  <c r="C97" i="1"/>
  <c r="D97" i="1"/>
  <c r="F97" i="1"/>
  <c r="G97" i="1"/>
  <c r="I97" i="1"/>
  <c r="B98" i="1"/>
  <c r="C98" i="1"/>
  <c r="D98" i="1"/>
  <c r="F98" i="1"/>
  <c r="G98" i="1"/>
  <c r="I98" i="1"/>
  <c r="B99" i="1"/>
  <c r="C99" i="1"/>
  <c r="D99" i="1"/>
  <c r="F99" i="1"/>
  <c r="G99" i="1"/>
  <c r="I99" i="1"/>
  <c r="B100" i="1"/>
  <c r="C100" i="1"/>
  <c r="D100" i="1"/>
  <c r="F100" i="1"/>
  <c r="G100" i="1"/>
  <c r="I100" i="1"/>
  <c r="B101" i="1"/>
  <c r="C101" i="1"/>
  <c r="D101" i="1"/>
  <c r="F101" i="1"/>
  <c r="G101" i="1"/>
  <c r="I101" i="1"/>
  <c r="B102" i="1"/>
  <c r="C102" i="1"/>
  <c r="D102" i="1"/>
  <c r="F102" i="1"/>
  <c r="G102" i="1"/>
  <c r="I102" i="1"/>
  <c r="B103" i="1"/>
  <c r="C103" i="1"/>
  <c r="D103" i="1"/>
  <c r="F103" i="1"/>
  <c r="G103" i="1"/>
  <c r="I103" i="1"/>
  <c r="B104" i="1"/>
  <c r="C104" i="1"/>
  <c r="D104" i="1"/>
  <c r="F104" i="1"/>
  <c r="G104" i="1"/>
  <c r="I104" i="1"/>
  <c r="B105" i="1"/>
  <c r="C105" i="1"/>
  <c r="D105" i="1"/>
  <c r="F105" i="1"/>
  <c r="G105" i="1"/>
  <c r="I105" i="1"/>
  <c r="B106" i="1"/>
  <c r="C106" i="1"/>
  <c r="D106" i="1"/>
  <c r="F106" i="1"/>
  <c r="G106" i="1"/>
  <c r="I106" i="1"/>
  <c r="B107" i="1"/>
  <c r="C107" i="1"/>
  <c r="D107" i="1"/>
  <c r="F107" i="1"/>
  <c r="G107" i="1"/>
  <c r="I107" i="1"/>
  <c r="B108" i="1"/>
  <c r="C108" i="1"/>
  <c r="D108" i="1"/>
  <c r="F108" i="1"/>
  <c r="G108" i="1"/>
  <c r="I108" i="1"/>
  <c r="B109" i="1"/>
  <c r="C109" i="1"/>
  <c r="D109" i="1"/>
  <c r="F109" i="1"/>
  <c r="G109" i="1"/>
  <c r="I109" i="1"/>
  <c r="B110" i="1"/>
  <c r="C110" i="1"/>
  <c r="D110" i="1"/>
  <c r="F110" i="1"/>
  <c r="G110" i="1"/>
  <c r="I110" i="1"/>
  <c r="B111" i="1"/>
  <c r="C111" i="1"/>
  <c r="D111" i="1"/>
  <c r="F111" i="1"/>
  <c r="G111" i="1"/>
  <c r="I111" i="1"/>
  <c r="B112" i="1"/>
  <c r="C112" i="1"/>
  <c r="D112" i="1"/>
  <c r="F112" i="1"/>
  <c r="G112" i="1"/>
  <c r="I112" i="1"/>
  <c r="B113" i="1"/>
  <c r="C113" i="1"/>
  <c r="D113" i="1"/>
  <c r="F113" i="1"/>
  <c r="G113" i="1"/>
  <c r="I113" i="1"/>
  <c r="B114" i="1"/>
  <c r="C114" i="1"/>
  <c r="D114" i="1"/>
  <c r="F114" i="1"/>
  <c r="G114" i="1"/>
  <c r="I114" i="1"/>
  <c r="B115" i="1"/>
  <c r="C115" i="1"/>
  <c r="D115" i="1"/>
  <c r="F115" i="1"/>
  <c r="G115" i="1"/>
  <c r="I115" i="1"/>
</calcChain>
</file>

<file path=xl/sharedStrings.xml><?xml version="1.0" encoding="utf-8"?>
<sst xmlns="http://schemas.openxmlformats.org/spreadsheetml/2006/main" count="1005" uniqueCount="223">
  <si>
    <t>一般病床数</t>
  </si>
  <si>
    <t>精神病床数</t>
  </si>
  <si>
    <t>結核病床数</t>
  </si>
  <si>
    <t>内科</t>
  </si>
  <si>
    <t>心療内科</t>
  </si>
  <si>
    <t>精神科</t>
  </si>
  <si>
    <t>神経科</t>
  </si>
  <si>
    <t>神経内科</t>
  </si>
  <si>
    <t>呼吸器科</t>
  </si>
  <si>
    <t>消化器科</t>
  </si>
  <si>
    <t>胃腸科</t>
  </si>
  <si>
    <t>循環器科</t>
  </si>
  <si>
    <t>アレルギー科</t>
  </si>
  <si>
    <t>リウマチ科</t>
  </si>
  <si>
    <t>小児科</t>
  </si>
  <si>
    <t>外科</t>
  </si>
  <si>
    <t>整形外科</t>
  </si>
  <si>
    <t>形成外科</t>
  </si>
  <si>
    <t>美容外科</t>
  </si>
  <si>
    <t>心臓血管外科</t>
  </si>
  <si>
    <t>小児外科</t>
  </si>
  <si>
    <t>性病科</t>
  </si>
  <si>
    <t>こう門科</t>
  </si>
  <si>
    <t>皮膚泌尿器科</t>
  </si>
  <si>
    <t>皮膚科</t>
  </si>
  <si>
    <t>泌尿器科</t>
  </si>
  <si>
    <t>産婦人科</t>
  </si>
  <si>
    <t>産科</t>
  </si>
  <si>
    <t>婦人科</t>
  </si>
  <si>
    <t>眼科</t>
  </si>
  <si>
    <t>耳鼻いんこう科</t>
  </si>
  <si>
    <t>気管食道科</t>
  </si>
  <si>
    <t>リハビリテーション科</t>
  </si>
  <si>
    <t>放射線科</t>
  </si>
  <si>
    <t>歯科</t>
  </si>
  <si>
    <t>矯正歯科</t>
  </si>
  <si>
    <t>小児歯科</t>
  </si>
  <si>
    <t>歯科口腔外科</t>
  </si>
  <si>
    <t>麻酔科</t>
  </si>
  <si>
    <t>消化器内科、消化器外科</t>
  </si>
  <si>
    <t>呼吸器内科、循環器内科、消化器内科、消化器外科、代謝内科、腫瘍外科、緩和ケア内科、腫瘍内科</t>
  </si>
  <si>
    <t>脳神経内科、呼吸器内科、消化器内科、循環器内科、代謝内科、感染症内科、腫瘍内科</t>
  </si>
  <si>
    <t>脳神経内科、血液・腫瘍内科、緩和ケア内科、消化器内科、循環器内科</t>
  </si>
  <si>
    <t>消化器内科、循環器内科、呼吸器内科</t>
  </si>
  <si>
    <t>脳神経内科、血管外科</t>
  </si>
  <si>
    <t>消化器内科、循環器内科、呼吸器内科、人工透析内科</t>
  </si>
  <si>
    <t>循環器内科、消化器内科、糖尿病内科、代謝内科、内分泌内科、脂質代謝内科、人工透析内科</t>
  </si>
  <si>
    <t>呼吸器内科、循環器内科、消化器内科、代謝内科、脳神経内科</t>
  </si>
  <si>
    <t>脳神経内科</t>
  </si>
  <si>
    <t>代謝内科、人工透析内科</t>
  </si>
  <si>
    <t>脳神経内科、リウマチ膠原病内科、乳腺内分泌外科、循環器内科、消化器内科、腫瘍内科、呼吸器内科</t>
  </si>
  <si>
    <t>脳神経内科、循環器内科</t>
  </si>
  <si>
    <t>消化器内科、循環器内科</t>
  </si>
  <si>
    <t>人工透析内科</t>
  </si>
  <si>
    <t>呼吸器内科、循環器内科、消化器内科、代謝内科、感染症内科、人工透析内科</t>
  </si>
  <si>
    <t>消化器内科、代謝内科</t>
  </si>
  <si>
    <t>糖尿病内科、呼吸器内科、漢方内科、循環器内科、代謝内科、内分泌内科</t>
  </si>
  <si>
    <t>循環器内科、消化器内科、消化器外科、肛門外科</t>
  </si>
  <si>
    <t>児童精神科</t>
  </si>
  <si>
    <t>脳神経内科、呼吸器内科、消化器内科、循環器内科、糖尿病・代謝内科、消化器外科</t>
  </si>
  <si>
    <t>胃腸内科、脳神経内科</t>
  </si>
  <si>
    <t>腫瘍内科、感染症内科、呼吸器内科、消化器内科、胃腸内科、循環器内科、肛門外科、アレルギー疾患内科、内視鏡内科、人工透析内科、内分泌内科、代謝内科、脂質代謝内科、腫瘍外科、肝臓外科、膵臓外科、胆のう外科、食道外科、胃外科、大腸外科、内視鏡外科、疼痛緩和外科、頭頚部外科、放射線治療科</t>
  </si>
  <si>
    <t>胃腸内科、循環器内科</t>
  </si>
  <si>
    <t>脳神経内科、呼吸器内科、消化器内科、循環器内科、代謝内科</t>
  </si>
  <si>
    <t>肛門外科</t>
  </si>
  <si>
    <t>循環器内科</t>
  </si>
  <si>
    <t>呼吸器内科、消化器内科、循環器内科、糖尿病・代謝・内分泌内科、血管外科、腫瘍内科、放射線治療科</t>
  </si>
  <si>
    <t>内分泌内科、人工透析内科</t>
  </si>
  <si>
    <t>呼吸器内科、消化器内科、循環器内科</t>
  </si>
  <si>
    <t>呼吸器内科、循環器内科、消化器内科、脳神経内科</t>
  </si>
  <si>
    <t>脳神経内科、呼吸器内科、消化器内科、循環器内科、画像診断・治療科、糖尿病・内分泌内科、緩和ケア内科、放射線治療科、老年内科、総合診療科</t>
  </si>
  <si>
    <t>消化器内科、循環器内科、人工透析内科</t>
  </si>
  <si>
    <t>児童精神科、老年精神科</t>
  </si>
  <si>
    <t>脳神経内科、呼吸器内科、消化器内科、循環器内科</t>
  </si>
  <si>
    <t>精神神経科</t>
  </si>
  <si>
    <t>脳神経内科、消化器内科、呼吸器内科、循環器内科、代謝・内分泌内科、肝臓・胆のう・膵臓外科、感染症内科</t>
  </si>
  <si>
    <t>脳神経内科、消化器内科、循環器内科、呼吸器内科</t>
  </si>
  <si>
    <t>呼吸器内科、循環器内科、消化器内科</t>
  </si>
  <si>
    <t>呼吸器内科</t>
  </si>
  <si>
    <t>循環器内科、消化器内科、老年内科、人工透析内科</t>
  </si>
  <si>
    <t>循環器内科、消化器内科、脳神経内科、人工透析内科、呼吸器外科、消化器外科、大腸・肛門外科、人工透析血管外科、胃腸内科、呼吸器内科</t>
  </si>
  <si>
    <t>呼吸器内科、消化器内科、循環器内科、肛門外科、消化器外科、代謝内科</t>
  </si>
  <si>
    <t>糖尿病内科、漢方内科</t>
  </si>
  <si>
    <t>山鹿市大橋通１２０４</t>
  </si>
  <si>
    <t>山鹿市新町１２０４</t>
  </si>
  <si>
    <t>山鹿市古閑１５００－１</t>
  </si>
  <si>
    <t>山鹿市山鹿５１１番地</t>
  </si>
  <si>
    <t>山鹿市山鹿１０００番地</t>
  </si>
  <si>
    <t>山鹿市古閑９８４番地</t>
  </si>
  <si>
    <t>菊池市隈府４９４</t>
  </si>
  <si>
    <t>菊池市深川４３３</t>
  </si>
  <si>
    <t>菊池市隈府８２３－１</t>
  </si>
  <si>
    <t>合志市栄３７９６</t>
  </si>
  <si>
    <t>合志市福原２０８</t>
  </si>
  <si>
    <t>合志市須屋２６５９</t>
  </si>
  <si>
    <t>合志市御代志８１２－２</t>
  </si>
  <si>
    <t>合志市須屋７０２</t>
  </si>
  <si>
    <t>菊池市泗水町豊水３３８８－１</t>
  </si>
  <si>
    <t>菊池郡菊陽町久保田２９８４</t>
  </si>
  <si>
    <t>菊池郡菊陽町原水５５８７</t>
  </si>
  <si>
    <t>菊池郡菊陽町辛川１９２３－１</t>
  </si>
  <si>
    <t>菊池郡菊陽町曲手７６０</t>
  </si>
  <si>
    <t>菊池郡大津町室２６１－９</t>
  </si>
  <si>
    <t>菊池市大琳寺字下原７５番地３</t>
  </si>
  <si>
    <t>菊池郡菊陽町原水２９２１番地</t>
  </si>
  <si>
    <t>阿蘇市内牧１１５３－１</t>
  </si>
  <si>
    <t>阿蘇郡南阿蘇村立野１８５－１</t>
  </si>
  <si>
    <t>阿蘇市一の宮町宮地１１５－１</t>
  </si>
  <si>
    <t>阿蘇市一の宮町宮地５８３３</t>
  </si>
  <si>
    <t>阿蘇郡小国町宮原１７４３</t>
  </si>
  <si>
    <t>熊本県阿蘇市黒川１２６６</t>
  </si>
  <si>
    <t>上益城郡嘉島町大字鯰字皆根１８８０</t>
  </si>
  <si>
    <t>上益城郡益城町惣領１５２２－１</t>
  </si>
  <si>
    <t>上益城郡益城町宮園７２２－１</t>
  </si>
  <si>
    <t>上益城郡益城町広崎１４４５番地１５</t>
  </si>
  <si>
    <t>上益城郡甲佐町緑町３３１</t>
  </si>
  <si>
    <t>上益城郡甲佐町岩下１２３</t>
  </si>
  <si>
    <t>上益城郡山都町北中島２８０６番地</t>
  </si>
  <si>
    <t>上益城郡山都町下馬尾２０４</t>
  </si>
  <si>
    <t>上益城郡御船町大字豊秋１５４０番地</t>
  </si>
  <si>
    <t>上益城郡山都町滝上４７６－２</t>
  </si>
  <si>
    <t>熊本県上益城郡嘉島町北甘木２０８３番地</t>
  </si>
  <si>
    <t>上益城郡益城町馬水１２３番地</t>
  </si>
  <si>
    <t>八代市通町８番９号</t>
  </si>
  <si>
    <t>八代市竹原町１６７０</t>
  </si>
  <si>
    <t>八代市豊原下町４００１</t>
  </si>
  <si>
    <t>八代市大村町７２０－１</t>
  </si>
  <si>
    <t>八代郡氷川町今１５１番地１</t>
  </si>
  <si>
    <t>八代市海士江町２８１７</t>
  </si>
  <si>
    <t>八代市古城町１７０５</t>
  </si>
  <si>
    <t>八代市平山新町４４３８－３</t>
  </si>
  <si>
    <t>八代市郡築一番町１７９番地</t>
  </si>
  <si>
    <t>八代市通町１０番１０号</t>
  </si>
  <si>
    <t>八代市本町２丁目４番３３号</t>
  </si>
  <si>
    <t>水俣市天神町１丁目２番１号</t>
  </si>
  <si>
    <t>水俣市袋７０５番地１４</t>
  </si>
  <si>
    <t>水俣市桜井町３丁目３番３号</t>
  </si>
  <si>
    <t>水俣市浜４０５１</t>
  </si>
  <si>
    <t>水俣市桜井町２－２－１２</t>
  </si>
  <si>
    <t>水俣市浜4089番地1</t>
  </si>
  <si>
    <t>水俣市浜４０７６番地</t>
  </si>
  <si>
    <t>葦北郡芦北町大字佐敷２８０番地１</t>
  </si>
  <si>
    <t>葦北郡芦北町芦北２８１３</t>
  </si>
  <si>
    <t>葦北郡芦北町湯浦４０３番地１</t>
  </si>
  <si>
    <t>人吉市南泉田町８９</t>
  </si>
  <si>
    <t>人吉市上青井町１７６</t>
  </si>
  <si>
    <t>人吉市南泉田町１</t>
  </si>
  <si>
    <t>球磨郡多良木町多良木４２１０</t>
  </si>
  <si>
    <t>人吉市老神町３５</t>
  </si>
  <si>
    <t>人吉市下原田町字西門１１２５－２</t>
  </si>
  <si>
    <t>球磨郡あさぎり町岡原北９４６</t>
  </si>
  <si>
    <t>人吉市下林町２３２</t>
  </si>
  <si>
    <t>人吉市下城本町１５０１</t>
  </si>
  <si>
    <t>人吉市瓦屋町字典子１７１８－１</t>
  </si>
  <si>
    <t>人吉市下新町３５９番地</t>
  </si>
  <si>
    <t>荒尾市荒尾２６００</t>
  </si>
  <si>
    <t>荒尾市増永１５４４－１</t>
  </si>
  <si>
    <t>荒尾市荒尾１９９２番地</t>
  </si>
  <si>
    <t>玉名郡長洲町宮野２７７５</t>
  </si>
  <si>
    <t>荒尾市万田４７５－１</t>
  </si>
  <si>
    <t>荒尾市増永２６２０</t>
  </si>
  <si>
    <t>玉名市伊倉北方２６５</t>
  </si>
  <si>
    <t>玉名市築地１４５２－３</t>
  </si>
  <si>
    <t>玉名市上小田１０６３</t>
  </si>
  <si>
    <t>玉名郡和水町江田４０４０</t>
  </si>
  <si>
    <t>玉名市玉名５５０番地</t>
  </si>
  <si>
    <t>宇城市小川町北新田５</t>
  </si>
  <si>
    <t>宇城市松橋町豊福２９００</t>
  </si>
  <si>
    <t>宇土市松山町１９０１</t>
  </si>
  <si>
    <t>宇城市松橋町豊福２３３８</t>
  </si>
  <si>
    <t>宇城市三角町波多７７５－１</t>
  </si>
  <si>
    <t>下益城郡美里町中小路８３５</t>
  </si>
  <si>
    <t>宇城市松橋町豊崎１９６２－１</t>
  </si>
  <si>
    <t>宇城市松橋町萩尾２０３７番地１</t>
  </si>
  <si>
    <t>下益城郡美里町永富３２８</t>
  </si>
  <si>
    <t>宇城市松橋町久具６９１番地</t>
  </si>
  <si>
    <t>天草市有明町小島子１３６０</t>
  </si>
  <si>
    <t>天草郡苓北町上津深江２７８－１０</t>
  </si>
  <si>
    <t>天草市五和町御領９０９３</t>
  </si>
  <si>
    <t>天草市今釜新町３４１３－６</t>
  </si>
  <si>
    <t>天草市亀場町食場８５４－１</t>
  </si>
  <si>
    <t>天草市東町１０１番地</t>
  </si>
  <si>
    <t>天草市佐伊津町５７８９</t>
  </si>
  <si>
    <t>天草市二浦町亀浦３１９８</t>
  </si>
  <si>
    <t>上天草市龍ケ岳町高戸１４１９－１９</t>
  </si>
  <si>
    <t>天草市本町下河内９６４</t>
  </si>
  <si>
    <t>天草市太田町２－１</t>
  </si>
  <si>
    <t>天草市牛深町１５２２－４６</t>
  </si>
  <si>
    <t>天草郡苓北町富岡３６００－３</t>
  </si>
  <si>
    <t>天草市牛深町３０５０番地</t>
  </si>
  <si>
    <t>天草市新和町小宮地７６３番地３</t>
  </si>
  <si>
    <t>天草市栖本町馬場２５６０－１４</t>
  </si>
  <si>
    <t>天草市河浦町白木河内２２３番地１１</t>
  </si>
  <si>
    <t>天草郡苓北町志岐1215番地</t>
  </si>
  <si>
    <t>病院台帳</t>
    <rPh sb="0" eb="2">
      <t>ビョウイン</t>
    </rPh>
    <rPh sb="2" eb="4">
      <t>ダイチョウ</t>
    </rPh>
    <phoneticPr fontId="21"/>
  </si>
  <si>
    <t>管轄保健所</t>
    <rPh sb="0" eb="1">
      <t>カンカツ</t>
    </rPh>
    <rPh sb="1" eb="4">
      <t>ホケンショ</t>
    </rPh>
    <phoneticPr fontId="21"/>
  </si>
  <si>
    <t>施設名称</t>
    <phoneticPr fontId="21"/>
  </si>
  <si>
    <t>郵便番号</t>
  </si>
  <si>
    <t>所在地</t>
  </si>
  <si>
    <t>電話番号</t>
  </si>
  <si>
    <t>開設者名</t>
  </si>
  <si>
    <t>総病床数</t>
    <rPh sb="0" eb="2">
      <t>ビョウショウ</t>
    </rPh>
    <rPh sb="2" eb="3">
      <t>スウ</t>
    </rPh>
    <phoneticPr fontId="21"/>
  </si>
  <si>
    <t>診療科目その他</t>
    <rPh sb="0" eb="2">
      <t>シンリョウ</t>
    </rPh>
    <rPh sb="2" eb="4">
      <t>カモク</t>
    </rPh>
    <rPh sb="6" eb="7">
      <t>タ</t>
    </rPh>
    <phoneticPr fontId="21"/>
  </si>
  <si>
    <t>感染症病床数</t>
    <rPh sb="0" eb="3">
      <t>カンセンショウ</t>
    </rPh>
    <phoneticPr fontId="21"/>
  </si>
  <si>
    <t>開設年月日</t>
    <phoneticPr fontId="21"/>
  </si>
  <si>
    <t>療養病床数</t>
    <phoneticPr fontId="21"/>
  </si>
  <si>
    <t>脳神経外科</t>
    <phoneticPr fontId="18"/>
  </si>
  <si>
    <t>呼吸器外科</t>
    <phoneticPr fontId="18"/>
  </si>
  <si>
    <t>○</t>
  </si>
  <si>
    <t>開設状況</t>
    <rPh sb="1" eb="3">
      <t>ジョウキョウ</t>
    </rPh>
    <phoneticPr fontId="21"/>
  </si>
  <si>
    <t>菊池
（山鹿）</t>
    <rPh sb="0" eb="2">
      <t>キクチ</t>
    </rPh>
    <rPh sb="4" eb="6">
      <t>ヤマガ</t>
    </rPh>
    <phoneticPr fontId="21"/>
  </si>
  <si>
    <t>菊池
（阿蘇）</t>
    <rPh sb="0" eb="2">
      <t>キクチ</t>
    </rPh>
    <rPh sb="4" eb="6">
      <t>アソ</t>
    </rPh>
    <phoneticPr fontId="21"/>
  </si>
  <si>
    <t>八代
（水俣）</t>
    <rPh sb="0" eb="2">
      <t>ヤツシロ</t>
    </rPh>
    <rPh sb="4" eb="6">
      <t>ミナマタ</t>
    </rPh>
    <phoneticPr fontId="21"/>
  </si>
  <si>
    <t>八代
（人吉）</t>
    <rPh sb="0" eb="2">
      <t>ヤツシロ</t>
    </rPh>
    <rPh sb="4" eb="6">
      <t>ヒトヨシ</t>
    </rPh>
    <phoneticPr fontId="21"/>
  </si>
  <si>
    <t>菊池
（有明）</t>
    <rPh sb="0" eb="2">
      <t>キクチ</t>
    </rPh>
    <rPh sb="4" eb="6">
      <t>アリアケ</t>
    </rPh>
    <phoneticPr fontId="21"/>
  </si>
  <si>
    <t>〇</t>
    <phoneticPr fontId="18"/>
  </si>
  <si>
    <t>循環器内科、脳神経内科、糖尿病内科</t>
    <phoneticPr fontId="18"/>
  </si>
  <si>
    <t>呼吸器内科、血液内科、感染症内科、腫瘍内科、脳神経内科、循環器内科、糖尿病・内分泌内科、消化器内科、緩和ケア内科、膠原病・リウマチ科</t>
  </si>
  <si>
    <t>脳神経内科、呼吸器内科、消化器内科、循環器内科、糖尿病内科、腎臓内科、血液内科</t>
    <phoneticPr fontId="18"/>
  </si>
  <si>
    <t>〇</t>
    <phoneticPr fontId="18"/>
  </si>
  <si>
    <t>循環器内科、糖尿病内科、人工透析内科、消化器外科、腎臓内科、内分泌・代謝内科、呼吸器内科</t>
  </si>
  <si>
    <t>〇</t>
    <phoneticPr fontId="18"/>
  </si>
  <si>
    <t>呼吸器内科、消化器内科、循環器内科、糖尿病内科（代謝内科）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</si>
</sst>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9" fillId="0" borderId="0" xfId="0" applyFont="1" applyFill="1" applyAlignment="1">
      <alignment vertical="top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57" fontId="19" fillId="0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right" vertical="center" wrapText="1"/>
    </xf>
    <xf numFmtId="0" fontId="19" fillId="0" borderId="0" xfId="0" applyFont="1" applyFill="1" applyAlignment="1">
      <alignment horizontal="right" vertical="center" wrapText="1"/>
    </xf>
    <xf numFmtId="57" fontId="19" fillId="0" borderId="0" xfId="0" applyNumberFormat="1" applyFont="1" applyFill="1" applyAlignment="1">
      <alignment horizontal="left" vertical="center" wrapText="1"/>
    </xf>
    <xf numFmtId="0" fontId="19" fillId="34" borderId="12" xfId="0" applyFont="1" applyFill="1" applyBorder="1" applyAlignment="1">
      <alignment horizontal="right" vertical="center" wrapText="1"/>
    </xf>
    <xf numFmtId="0" fontId="19" fillId="34" borderId="13" xfId="0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center" vertical="center" textRotation="255"/>
    </xf>
    <xf numFmtId="0" fontId="19" fillId="35" borderId="10" xfId="0" applyFont="1" applyFill="1" applyBorder="1" applyAlignment="1">
      <alignment horizontal="center" vertical="center" wrapText="1"/>
    </xf>
    <xf numFmtId="0" fontId="22" fillId="0" borderId="10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10" xfId="0" applyFont="1" applyFill="1" applyBorder="1">
      <alignment vertical="center"/>
    </xf>
    <xf numFmtId="0" fontId="19" fillId="33" borderId="10" xfId="0" quotePrefix="1" applyNumberFormat="1" applyFont="1" applyFill="1" applyBorder="1" applyAlignment="1">
      <alignment horizontal="center" vertical="center" textRotation="255" shrinkToFit="1"/>
    </xf>
    <xf numFmtId="0" fontId="19" fillId="33" borderId="10" xfId="0" quotePrefix="1" applyNumberFormat="1" applyFont="1" applyFill="1" applyBorder="1" applyAlignment="1">
      <alignment horizontal="center" vertical="center" textRotation="255" wrapText="1" shrinkToFit="1"/>
    </xf>
    <xf numFmtId="57" fontId="19" fillId="33" borderId="10" xfId="0" quotePrefix="1" applyNumberFormat="1" applyFont="1" applyFill="1" applyBorder="1" applyAlignment="1">
      <alignment horizontal="center" vertical="center" textRotation="255" shrinkToFit="1"/>
    </xf>
    <xf numFmtId="0" fontId="19" fillId="33" borderId="10" xfId="0" quotePrefix="1" applyNumberFormat="1" applyFont="1" applyFill="1" applyBorder="1" applyAlignment="1">
      <alignment horizontal="center" vertical="center" textRotation="255"/>
    </xf>
    <xf numFmtId="0" fontId="19" fillId="33" borderId="13" xfId="0" quotePrefix="1" applyNumberFormat="1" applyFont="1" applyFill="1" applyBorder="1" applyAlignment="1">
      <alignment horizontal="center" vertical="center" textRotation="255"/>
    </xf>
    <xf numFmtId="38" fontId="19" fillId="33" borderId="10" xfId="42" quotePrefix="1" applyFont="1" applyFill="1" applyBorder="1" applyAlignment="1">
      <alignment horizontal="center" vertical="center" textRotation="255"/>
    </xf>
    <xf numFmtId="57" fontId="19" fillId="33" borderId="15" xfId="0" quotePrefix="1" applyNumberFormat="1" applyFont="1" applyFill="1" applyBorder="1" applyAlignment="1">
      <alignment horizontal="center" vertical="center" textRotation="255" wrapText="1" shrinkToFit="1"/>
    </xf>
    <xf numFmtId="57" fontId="19" fillId="33" borderId="16" xfId="0" quotePrefix="1" applyNumberFormat="1" applyFont="1" applyFill="1" applyBorder="1" applyAlignment="1">
      <alignment horizontal="center" vertical="center" textRotation="255" wrapText="1" shrinkToFit="1"/>
    </xf>
    <xf numFmtId="57" fontId="19" fillId="33" borderId="14" xfId="0" quotePrefix="1" applyNumberFormat="1" applyFont="1" applyFill="1" applyBorder="1" applyAlignment="1">
      <alignment horizontal="center" vertical="center" textRotation="255" wrapText="1" shrinkToFit="1"/>
    </xf>
    <xf numFmtId="0" fontId="19" fillId="34" borderId="14" xfId="0" quotePrefix="1" applyNumberFormat="1" applyFont="1" applyFill="1" applyBorder="1" applyAlignment="1">
      <alignment horizontal="center" vertical="center" textRotation="255" shrinkToFit="1"/>
    </xf>
    <xf numFmtId="0" fontId="19" fillId="34" borderId="10" xfId="0" quotePrefix="1" applyNumberFormat="1" applyFont="1" applyFill="1" applyBorder="1" applyAlignment="1">
      <alignment horizontal="center" vertical="center" textRotation="255" shrinkToFit="1"/>
    </xf>
    <xf numFmtId="0" fontId="20" fillId="0" borderId="0" xfId="0" applyFont="1" applyFill="1" applyBorder="1" applyAlignment="1">
      <alignment horizontal="left" vertical="center"/>
    </xf>
    <xf numFmtId="0" fontId="19" fillId="33" borderId="11" xfId="0" quotePrefix="1" applyNumberFormat="1" applyFont="1" applyFill="1" applyBorder="1" applyAlignment="1">
      <alignment horizontal="center" vertical="center" textRotation="255" shrinkToFit="1"/>
    </xf>
    <xf numFmtId="0" fontId="19" fillId="33" borderId="14" xfId="0" quotePrefix="1" applyNumberFormat="1" applyFont="1" applyFill="1" applyBorder="1" applyAlignment="1">
      <alignment horizontal="center" vertical="center" textRotation="255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15"/>
  <sheetViews>
    <sheetView tabSelected="1" workbookViewId="0">
      <pane xSplit="3" ySplit="4" topLeftCell="D92" activePane="bottomRight" state="frozen"/>
      <selection pane="topRight" activeCell="D1" sqref="D1"/>
      <selection pane="bottomLeft" activeCell="A5" sqref="A5"/>
      <selection pane="bottomRight" activeCell="C108" sqref="C108"/>
    </sheetView>
  </sheetViews>
  <sheetFormatPr defaultRowHeight="13.5" x14ac:dyDescent="0.4"/>
  <cols>
    <col min="1" max="1" width="4.125" style="14" customWidth="1"/>
    <col min="2" max="2" width="7.25" style="15" customWidth="1"/>
    <col min="3" max="3" width="52.125" style="14" bestFit="1" customWidth="1"/>
    <col min="4" max="4" width="10.125" style="14" customWidth="1"/>
    <col min="5" max="5" width="40" style="14" customWidth="1"/>
    <col min="6" max="6" width="12" style="14" customWidth="1"/>
    <col min="7" max="7" width="35.875" style="14" bestFit="1" customWidth="1"/>
    <col min="8" max="8" width="10.25" style="14" bestFit="1" customWidth="1"/>
    <col min="9" max="9" width="9" style="14"/>
    <col min="10" max="15" width="4.375" style="14" customWidth="1"/>
    <col min="16" max="53" width="2.75" style="15" customWidth="1"/>
    <col min="54" max="54" width="62" style="17" customWidth="1"/>
    <col min="55" max="16384" width="9" style="14"/>
  </cols>
  <sheetData>
    <row r="1" spans="1:54" s="1" customFormat="1" ht="14.25" x14ac:dyDescent="0.4">
      <c r="B1" s="30" t="s">
        <v>194</v>
      </c>
      <c r="C1" s="30"/>
      <c r="D1" s="30"/>
      <c r="E1" s="30"/>
      <c r="F1" s="2"/>
      <c r="G1" s="3"/>
      <c r="H1" s="4"/>
      <c r="I1" s="4"/>
      <c r="J1" s="5"/>
      <c r="K1" s="6"/>
      <c r="L1" s="6"/>
      <c r="M1" s="6"/>
      <c r="N1" s="6"/>
      <c r="O1" s="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7"/>
    </row>
    <row r="2" spans="1:54" s="1" customFormat="1" ht="12" customHeight="1" x14ac:dyDescent="0.4">
      <c r="B2" s="19" t="s">
        <v>195</v>
      </c>
      <c r="C2" s="20" t="s">
        <v>196</v>
      </c>
      <c r="D2" s="19" t="s">
        <v>197</v>
      </c>
      <c r="E2" s="19" t="s">
        <v>198</v>
      </c>
      <c r="F2" s="19" t="s">
        <v>199</v>
      </c>
      <c r="G2" s="20" t="s">
        <v>200</v>
      </c>
      <c r="H2" s="21" t="s">
        <v>204</v>
      </c>
      <c r="I2" s="21" t="s">
        <v>209</v>
      </c>
      <c r="J2" s="31" t="s">
        <v>201</v>
      </c>
      <c r="K2" s="8"/>
      <c r="L2" s="8"/>
      <c r="M2" s="8"/>
      <c r="N2" s="8"/>
      <c r="O2" s="9"/>
      <c r="P2" s="23" t="s">
        <v>3</v>
      </c>
      <c r="Q2" s="22" t="s">
        <v>4</v>
      </c>
      <c r="R2" s="22" t="s">
        <v>5</v>
      </c>
      <c r="S2" s="22" t="s">
        <v>6</v>
      </c>
      <c r="T2" s="22" t="s">
        <v>7</v>
      </c>
      <c r="U2" s="22" t="s">
        <v>8</v>
      </c>
      <c r="V2" s="22" t="s">
        <v>9</v>
      </c>
      <c r="W2" s="22" t="s">
        <v>10</v>
      </c>
      <c r="X2" s="22" t="s">
        <v>11</v>
      </c>
      <c r="Y2" s="22" t="s">
        <v>12</v>
      </c>
      <c r="Z2" s="22" t="s">
        <v>13</v>
      </c>
      <c r="AA2" s="22" t="s">
        <v>14</v>
      </c>
      <c r="AB2" s="22" t="s">
        <v>15</v>
      </c>
      <c r="AC2" s="22" t="s">
        <v>16</v>
      </c>
      <c r="AD2" s="22" t="s">
        <v>17</v>
      </c>
      <c r="AE2" s="22" t="s">
        <v>18</v>
      </c>
      <c r="AF2" s="24" t="s">
        <v>206</v>
      </c>
      <c r="AG2" s="22" t="s">
        <v>207</v>
      </c>
      <c r="AH2" s="22" t="s">
        <v>19</v>
      </c>
      <c r="AI2" s="22" t="s">
        <v>20</v>
      </c>
      <c r="AJ2" s="22" t="s">
        <v>21</v>
      </c>
      <c r="AK2" s="22" t="s">
        <v>22</v>
      </c>
      <c r="AL2" s="22" t="s">
        <v>23</v>
      </c>
      <c r="AM2" s="22" t="s">
        <v>24</v>
      </c>
      <c r="AN2" s="22" t="s">
        <v>25</v>
      </c>
      <c r="AO2" s="22" t="s">
        <v>26</v>
      </c>
      <c r="AP2" s="22" t="s">
        <v>27</v>
      </c>
      <c r="AQ2" s="22" t="s">
        <v>28</v>
      </c>
      <c r="AR2" s="22" t="s">
        <v>29</v>
      </c>
      <c r="AS2" s="22" t="s">
        <v>30</v>
      </c>
      <c r="AT2" s="22" t="s">
        <v>31</v>
      </c>
      <c r="AU2" s="22" t="s">
        <v>32</v>
      </c>
      <c r="AV2" s="22" t="s">
        <v>33</v>
      </c>
      <c r="AW2" s="22" t="s">
        <v>34</v>
      </c>
      <c r="AX2" s="22" t="s">
        <v>35</v>
      </c>
      <c r="AY2" s="22" t="s">
        <v>36</v>
      </c>
      <c r="AZ2" s="22" t="s">
        <v>37</v>
      </c>
      <c r="BA2" s="22" t="s">
        <v>38</v>
      </c>
      <c r="BB2" s="25" t="s">
        <v>202</v>
      </c>
    </row>
    <row r="3" spans="1:54" s="1" customFormat="1" ht="14.25" customHeight="1" x14ac:dyDescent="0.4">
      <c r="B3" s="19"/>
      <c r="C3" s="20"/>
      <c r="D3" s="19"/>
      <c r="E3" s="19"/>
      <c r="F3" s="19"/>
      <c r="G3" s="20"/>
      <c r="H3" s="21"/>
      <c r="I3" s="21"/>
      <c r="J3" s="19"/>
      <c r="K3" s="32" t="s">
        <v>0</v>
      </c>
      <c r="L3" s="32" t="s">
        <v>205</v>
      </c>
      <c r="M3" s="32" t="s">
        <v>1</v>
      </c>
      <c r="N3" s="28" t="s">
        <v>2</v>
      </c>
      <c r="O3" s="28" t="s">
        <v>203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4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6"/>
    </row>
    <row r="4" spans="1:54" s="10" customFormat="1" ht="161.25" customHeight="1" x14ac:dyDescent="0.4">
      <c r="B4" s="19"/>
      <c r="C4" s="20"/>
      <c r="D4" s="19"/>
      <c r="E4" s="19"/>
      <c r="F4" s="19"/>
      <c r="G4" s="20"/>
      <c r="H4" s="21"/>
      <c r="I4" s="21"/>
      <c r="J4" s="19"/>
      <c r="K4" s="19"/>
      <c r="L4" s="19"/>
      <c r="M4" s="19"/>
      <c r="N4" s="29"/>
      <c r="O4" s="29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4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7"/>
    </row>
    <row r="5" spans="1:54" ht="24.75" customHeight="1" x14ac:dyDescent="0.4">
      <c r="A5" s="14">
        <v>1</v>
      </c>
      <c r="B5" s="11" t="s">
        <v>210</v>
      </c>
      <c r="C5" s="12" t="str">
        <f>"三森循環器科・呼吸器科病院"</f>
        <v>三森循環器科・呼吸器科病院</v>
      </c>
      <c r="D5" s="12" t="str">
        <f>"861-0517"</f>
        <v>861-0517</v>
      </c>
      <c r="E5" s="12" t="s">
        <v>83</v>
      </c>
      <c r="F5" s="12" t="str">
        <f>"0968421234    "</f>
        <v xml:space="preserve">0968421234    </v>
      </c>
      <c r="G5" s="12" t="str">
        <f>"医療法人社団三森会"</f>
        <v>医療法人社団三森会</v>
      </c>
      <c r="H5" s="12" t="str">
        <f>"H15.04.01"</f>
        <v>H15.04.01</v>
      </c>
      <c r="I5" s="12" t="str">
        <f t="shared" ref="I5:I10" si="0">"開設中"</f>
        <v>開設中</v>
      </c>
      <c r="J5" s="12">
        <v>58</v>
      </c>
      <c r="K5" s="12">
        <v>58</v>
      </c>
      <c r="L5" s="12">
        <v>0</v>
      </c>
      <c r="M5" s="12">
        <v>0</v>
      </c>
      <c r="N5" s="12">
        <v>0</v>
      </c>
      <c r="O5" s="12">
        <v>0</v>
      </c>
      <c r="P5" s="13" t="s">
        <v>208</v>
      </c>
      <c r="Q5" s="13"/>
      <c r="R5" s="13"/>
      <c r="S5" s="13"/>
      <c r="T5" s="13" t="s">
        <v>208</v>
      </c>
      <c r="U5" s="13" t="s">
        <v>208</v>
      </c>
      <c r="V5" s="13" t="s">
        <v>208</v>
      </c>
      <c r="W5" s="13"/>
      <c r="X5" s="13" t="s">
        <v>208</v>
      </c>
      <c r="Y5" s="13" t="s">
        <v>208</v>
      </c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 t="s">
        <v>208</v>
      </c>
      <c r="AV5" s="13"/>
      <c r="AW5" s="13"/>
      <c r="AX5" s="13"/>
      <c r="AY5" s="13"/>
      <c r="AZ5" s="13"/>
      <c r="BA5" s="13"/>
      <c r="BB5" s="16"/>
    </row>
    <row r="6" spans="1:54" ht="24.75" customHeight="1" x14ac:dyDescent="0.4">
      <c r="A6" s="14">
        <v>2</v>
      </c>
      <c r="B6" s="11" t="s">
        <v>210</v>
      </c>
      <c r="C6" s="12" t="str">
        <f>"山鹿温泉リハビリテーション病院"</f>
        <v>山鹿温泉リハビリテーション病院</v>
      </c>
      <c r="D6" s="12" t="str">
        <f>"861-0514"</f>
        <v>861-0514</v>
      </c>
      <c r="E6" s="12" t="s">
        <v>84</v>
      </c>
      <c r="F6" s="12" t="str">
        <f>"0968434151    "</f>
        <v xml:space="preserve">0968434151    </v>
      </c>
      <c r="G6" s="12" t="str">
        <f>"医療法人社団木星会"</f>
        <v>医療法人社団木星会</v>
      </c>
      <c r="H6" s="12" t="str">
        <f>"H02.11.01"</f>
        <v>H02.11.01</v>
      </c>
      <c r="I6" s="12" t="str">
        <f t="shared" si="0"/>
        <v>開設中</v>
      </c>
      <c r="J6" s="12">
        <v>101</v>
      </c>
      <c r="K6" s="12">
        <v>0</v>
      </c>
      <c r="L6" s="12">
        <v>101</v>
      </c>
      <c r="M6" s="12">
        <v>0</v>
      </c>
      <c r="N6" s="12">
        <v>0</v>
      </c>
      <c r="O6" s="12">
        <v>0</v>
      </c>
      <c r="P6" s="13" t="s">
        <v>208</v>
      </c>
      <c r="Q6" s="13"/>
      <c r="R6" s="13"/>
      <c r="S6" s="13"/>
      <c r="T6" s="13" t="s">
        <v>208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 t="s">
        <v>208</v>
      </c>
      <c r="AV6" s="13" t="s">
        <v>208</v>
      </c>
      <c r="AW6" s="13"/>
      <c r="AX6" s="13"/>
      <c r="AY6" s="13"/>
      <c r="AZ6" s="13"/>
      <c r="BA6" s="13"/>
      <c r="BB6" s="16" t="s">
        <v>39</v>
      </c>
    </row>
    <row r="7" spans="1:54" ht="24.75" customHeight="1" x14ac:dyDescent="0.4">
      <c r="A7" s="14">
        <v>3</v>
      </c>
      <c r="B7" s="11" t="s">
        <v>210</v>
      </c>
      <c r="C7" s="12" t="str">
        <f>"山鹿回生病院"</f>
        <v>山鹿回生病院</v>
      </c>
      <c r="D7" s="12" t="str">
        <f>"861-0533"</f>
        <v>861-0533</v>
      </c>
      <c r="E7" s="12" t="s">
        <v>85</v>
      </c>
      <c r="F7" s="12" t="str">
        <f>"0968442211    "</f>
        <v xml:space="preserve">0968442211    </v>
      </c>
      <c r="G7" s="12" t="str">
        <f>"医療法人回生会"</f>
        <v>医療法人回生会</v>
      </c>
      <c r="H7" s="12" t="str">
        <f>"S50.05.31"</f>
        <v>S50.05.31</v>
      </c>
      <c r="I7" s="12" t="str">
        <f t="shared" si="0"/>
        <v>開設中</v>
      </c>
      <c r="J7" s="12">
        <v>240</v>
      </c>
      <c r="K7" s="12">
        <v>0</v>
      </c>
      <c r="L7" s="12">
        <v>0</v>
      </c>
      <c r="M7" s="12">
        <v>240</v>
      </c>
      <c r="N7" s="12">
        <v>0</v>
      </c>
      <c r="O7" s="12">
        <v>0</v>
      </c>
      <c r="P7" s="13" t="s">
        <v>208</v>
      </c>
      <c r="Q7" s="13" t="s">
        <v>208</v>
      </c>
      <c r="R7" s="13" t="s">
        <v>208</v>
      </c>
      <c r="S7" s="13" t="s">
        <v>208</v>
      </c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6"/>
    </row>
    <row r="8" spans="1:54" ht="24.75" customHeight="1" x14ac:dyDescent="0.4">
      <c r="A8" s="14">
        <v>4</v>
      </c>
      <c r="B8" s="11" t="s">
        <v>210</v>
      </c>
      <c r="C8" s="12" t="str">
        <f>"山鹿市民医療センター"</f>
        <v>山鹿市民医療センター</v>
      </c>
      <c r="D8" s="12" t="str">
        <f>"861-0593"</f>
        <v>861-0593</v>
      </c>
      <c r="E8" s="12" t="s">
        <v>86</v>
      </c>
      <c r="F8" s="12" t="str">
        <f>"0968442185    "</f>
        <v xml:space="preserve">0968442185    </v>
      </c>
      <c r="G8" s="12" t="str">
        <f>"山鹿市"</f>
        <v>山鹿市</v>
      </c>
      <c r="H8" s="12" t="str">
        <f>"H17.01.15"</f>
        <v>H17.01.15</v>
      </c>
      <c r="I8" s="12" t="str">
        <f t="shared" si="0"/>
        <v>開設中</v>
      </c>
      <c r="J8" s="12">
        <v>201</v>
      </c>
      <c r="K8" s="12">
        <v>197</v>
      </c>
      <c r="L8" s="12">
        <v>0</v>
      </c>
      <c r="M8" s="12">
        <v>0</v>
      </c>
      <c r="N8" s="12">
        <v>0</v>
      </c>
      <c r="O8" s="12">
        <v>4</v>
      </c>
      <c r="P8" s="13" t="s">
        <v>208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 t="s">
        <v>208</v>
      </c>
      <c r="AB8" s="13" t="s">
        <v>208</v>
      </c>
      <c r="AC8" s="13" t="s">
        <v>208</v>
      </c>
      <c r="AD8" s="13"/>
      <c r="AE8" s="13"/>
      <c r="AF8" s="13"/>
      <c r="AG8" s="13" t="s">
        <v>208</v>
      </c>
      <c r="AH8" s="13"/>
      <c r="AI8" s="13"/>
      <c r="AJ8" s="13"/>
      <c r="AK8" s="13"/>
      <c r="AL8" s="13"/>
      <c r="AM8" s="13"/>
      <c r="AN8" s="13" t="s">
        <v>208</v>
      </c>
      <c r="AO8" s="13" t="s">
        <v>208</v>
      </c>
      <c r="AP8" s="13"/>
      <c r="AQ8" s="13"/>
      <c r="AR8" s="13" t="s">
        <v>208</v>
      </c>
      <c r="AS8" s="13" t="s">
        <v>208</v>
      </c>
      <c r="AT8" s="13"/>
      <c r="AU8" s="13" t="s">
        <v>208</v>
      </c>
      <c r="AV8" s="13" t="s">
        <v>208</v>
      </c>
      <c r="AW8" s="13"/>
      <c r="AX8" s="13"/>
      <c r="AY8" s="13"/>
      <c r="AZ8" s="13"/>
      <c r="BA8" s="13" t="s">
        <v>208</v>
      </c>
      <c r="BB8" s="16" t="s">
        <v>40</v>
      </c>
    </row>
    <row r="9" spans="1:54" ht="24.75" customHeight="1" x14ac:dyDescent="0.4">
      <c r="A9" s="14">
        <v>5</v>
      </c>
      <c r="B9" s="11" t="s">
        <v>210</v>
      </c>
      <c r="C9" s="12" t="str">
        <f>"山鹿中央病院"</f>
        <v>山鹿中央病院</v>
      </c>
      <c r="D9" s="12" t="str">
        <f>"861-0501"</f>
        <v>861-0501</v>
      </c>
      <c r="E9" s="12" t="s">
        <v>87</v>
      </c>
      <c r="F9" s="12" t="str">
        <f>"0968436611    "</f>
        <v xml:space="preserve">0968436611    </v>
      </c>
      <c r="G9" s="12" t="str">
        <f>"医療法人春水会"</f>
        <v>医療法人春水会</v>
      </c>
      <c r="H9" s="12" t="str">
        <f>"H11.05.01"</f>
        <v>H11.05.01</v>
      </c>
      <c r="I9" s="12" t="str">
        <f t="shared" si="0"/>
        <v>開設中</v>
      </c>
      <c r="J9" s="12">
        <v>120</v>
      </c>
      <c r="K9" s="12">
        <v>60</v>
      </c>
      <c r="L9" s="12">
        <v>60</v>
      </c>
      <c r="M9" s="12">
        <v>0</v>
      </c>
      <c r="N9" s="12">
        <v>0</v>
      </c>
      <c r="O9" s="12">
        <v>0</v>
      </c>
      <c r="P9" s="13" t="s">
        <v>208</v>
      </c>
      <c r="Q9" s="13" t="s">
        <v>208</v>
      </c>
      <c r="R9" s="13"/>
      <c r="S9" s="13"/>
      <c r="T9" s="13"/>
      <c r="U9" s="13"/>
      <c r="V9" s="13"/>
      <c r="W9" s="13"/>
      <c r="X9" s="13"/>
      <c r="Y9" s="13" t="s">
        <v>208</v>
      </c>
      <c r="Z9" s="13" t="s">
        <v>208</v>
      </c>
      <c r="AA9" s="13"/>
      <c r="AB9" s="13"/>
      <c r="AC9" s="13"/>
      <c r="AD9" s="13" t="s">
        <v>208</v>
      </c>
      <c r="AE9" s="13"/>
      <c r="AF9" s="13" t="s">
        <v>208</v>
      </c>
      <c r="AG9" s="13"/>
      <c r="AH9" s="13"/>
      <c r="AI9" s="13"/>
      <c r="AJ9" s="13"/>
      <c r="AK9" s="13"/>
      <c r="AL9" s="13"/>
      <c r="AM9" s="13" t="s">
        <v>208</v>
      </c>
      <c r="AN9" s="13" t="s">
        <v>208</v>
      </c>
      <c r="AO9" s="13"/>
      <c r="AP9" s="13"/>
      <c r="AQ9" s="13"/>
      <c r="AR9" s="13"/>
      <c r="AS9" s="13"/>
      <c r="AT9" s="13"/>
      <c r="AU9" s="13" t="s">
        <v>208</v>
      </c>
      <c r="AV9" s="13" t="s">
        <v>208</v>
      </c>
      <c r="AW9" s="13"/>
      <c r="AX9" s="13"/>
      <c r="AY9" s="13"/>
      <c r="AZ9" s="13"/>
      <c r="BA9" s="13"/>
      <c r="BB9" s="16" t="s">
        <v>218</v>
      </c>
    </row>
    <row r="10" spans="1:54" ht="24.75" customHeight="1" x14ac:dyDescent="0.4">
      <c r="A10" s="14">
        <v>6</v>
      </c>
      <c r="B10" s="11" t="s">
        <v>210</v>
      </c>
      <c r="C10" s="12" t="str">
        <f>"保利病院"</f>
        <v>保利病院</v>
      </c>
      <c r="D10" s="12" t="str">
        <f>"861-0533"</f>
        <v>861-0533</v>
      </c>
      <c r="E10" s="12" t="s">
        <v>88</v>
      </c>
      <c r="F10" s="12" t="str">
        <f>"0968431212    "</f>
        <v xml:space="preserve">0968431212    </v>
      </c>
      <c r="G10" s="12" t="str">
        <f>"医療法人至誠会"</f>
        <v>医療法人至誠会</v>
      </c>
      <c r="H10" s="12" t="str">
        <f>"H19.04.01"</f>
        <v>H19.04.01</v>
      </c>
      <c r="I10" s="12" t="str">
        <f t="shared" si="0"/>
        <v>開設中</v>
      </c>
      <c r="J10" s="12">
        <v>106</v>
      </c>
      <c r="K10" s="12">
        <v>60</v>
      </c>
      <c r="L10" s="12">
        <v>46</v>
      </c>
      <c r="M10" s="12">
        <v>0</v>
      </c>
      <c r="N10" s="12">
        <v>0</v>
      </c>
      <c r="O10" s="12">
        <v>0</v>
      </c>
      <c r="P10" s="13" t="s">
        <v>208</v>
      </c>
      <c r="Q10" s="13"/>
      <c r="R10" s="13"/>
      <c r="S10" s="13"/>
      <c r="T10" s="13"/>
      <c r="U10" s="13"/>
      <c r="V10" s="13" t="s">
        <v>208</v>
      </c>
      <c r="W10" s="13" t="s">
        <v>208</v>
      </c>
      <c r="X10" s="13" t="s">
        <v>208</v>
      </c>
      <c r="Y10" s="13"/>
      <c r="Z10" s="13"/>
      <c r="AA10" s="13"/>
      <c r="AB10" s="13" t="s">
        <v>208</v>
      </c>
      <c r="AC10" s="13" t="s">
        <v>208</v>
      </c>
      <c r="AD10" s="13" t="s">
        <v>208</v>
      </c>
      <c r="AE10" s="13"/>
      <c r="AF10" s="13" t="s">
        <v>208</v>
      </c>
      <c r="AG10" s="13"/>
      <c r="AH10" s="13"/>
      <c r="AI10" s="13"/>
      <c r="AJ10" s="13"/>
      <c r="AK10" s="13" t="s">
        <v>208</v>
      </c>
      <c r="AL10" s="13"/>
      <c r="AM10" s="13"/>
      <c r="AN10" s="13"/>
      <c r="AO10" s="13"/>
      <c r="AP10" s="13"/>
      <c r="AQ10" s="13"/>
      <c r="AR10" s="13"/>
      <c r="AS10" s="13"/>
      <c r="AT10" s="13"/>
      <c r="AU10" s="13" t="s">
        <v>208</v>
      </c>
      <c r="AV10" s="13" t="s">
        <v>208</v>
      </c>
      <c r="AW10" s="13"/>
      <c r="AX10" s="13"/>
      <c r="AY10" s="13"/>
      <c r="AZ10" s="13"/>
      <c r="BA10" s="13"/>
      <c r="BB10" s="16"/>
    </row>
    <row r="11" spans="1:54" ht="24.75" customHeight="1" x14ac:dyDescent="0.4">
      <c r="A11" s="14">
        <v>7</v>
      </c>
      <c r="B11" s="13" t="str">
        <f t="shared" ref="B11:B26" si="1">"菊池"</f>
        <v>菊池</v>
      </c>
      <c r="C11" s="12" t="str">
        <f>"菊池中央病院"</f>
        <v>菊池中央病院</v>
      </c>
      <c r="D11" s="12" t="str">
        <f>"861-1331"</f>
        <v>861-1331</v>
      </c>
      <c r="E11" s="12" t="s">
        <v>89</v>
      </c>
      <c r="F11" s="12" t="str">
        <f>"0968253141    "</f>
        <v xml:space="preserve">0968253141    </v>
      </c>
      <c r="G11" s="12" t="str">
        <f>"医療法人　信岡会"</f>
        <v>医療法人　信岡会</v>
      </c>
      <c r="H11" s="12" t="str">
        <f>"S43.02.01"</f>
        <v>S43.02.01</v>
      </c>
      <c r="I11" s="12" t="str">
        <f>"開設中"</f>
        <v>開設中</v>
      </c>
      <c r="J11" s="12">
        <v>102</v>
      </c>
      <c r="K11" s="12">
        <v>102</v>
      </c>
      <c r="L11" s="12">
        <v>0</v>
      </c>
      <c r="M11" s="12">
        <v>0</v>
      </c>
      <c r="N11" s="12">
        <v>0</v>
      </c>
      <c r="O11" s="12">
        <v>0</v>
      </c>
      <c r="P11" s="13" t="s">
        <v>208</v>
      </c>
      <c r="Q11" s="13"/>
      <c r="R11" s="13"/>
      <c r="S11" s="13"/>
      <c r="T11" s="13"/>
      <c r="U11" s="13" t="s">
        <v>208</v>
      </c>
      <c r="V11" s="13" t="s">
        <v>208</v>
      </c>
      <c r="W11" s="13"/>
      <c r="X11" s="13" t="s">
        <v>208</v>
      </c>
      <c r="Y11" s="13"/>
      <c r="Z11" s="13"/>
      <c r="AA11" s="13" t="s">
        <v>208</v>
      </c>
      <c r="AB11" s="13" t="s">
        <v>208</v>
      </c>
      <c r="AC11" s="13" t="s">
        <v>208</v>
      </c>
      <c r="AD11" s="13" t="s">
        <v>208</v>
      </c>
      <c r="AE11" s="13"/>
      <c r="AF11" s="13" t="s">
        <v>208</v>
      </c>
      <c r="AG11" s="13"/>
      <c r="AH11" s="13"/>
      <c r="AI11" s="13"/>
      <c r="AJ11" s="13"/>
      <c r="AK11" s="13" t="s">
        <v>208</v>
      </c>
      <c r="AL11" s="13"/>
      <c r="AM11" s="13" t="s">
        <v>208</v>
      </c>
      <c r="AN11" s="13"/>
      <c r="AO11" s="13"/>
      <c r="AP11" s="13"/>
      <c r="AQ11" s="13"/>
      <c r="AR11" s="13"/>
      <c r="AS11" s="13"/>
      <c r="AT11" s="13"/>
      <c r="AU11" s="13" t="s">
        <v>208</v>
      </c>
      <c r="AV11" s="13"/>
      <c r="AW11" s="13"/>
      <c r="AX11" s="13"/>
      <c r="AY11" s="13"/>
      <c r="AZ11" s="13"/>
      <c r="BA11" s="13"/>
      <c r="BB11" s="16"/>
    </row>
    <row r="12" spans="1:54" ht="24.75" customHeight="1" x14ac:dyDescent="0.4">
      <c r="A12" s="14">
        <v>8</v>
      </c>
      <c r="B12" s="13" t="str">
        <f t="shared" si="1"/>
        <v>菊池</v>
      </c>
      <c r="C12" s="12" t="str">
        <f>"菊池有働病院"</f>
        <v>菊池有働病院</v>
      </c>
      <c r="D12" s="12" t="str">
        <f>"861-1304"</f>
        <v>861-1304</v>
      </c>
      <c r="E12" s="12" t="s">
        <v>90</v>
      </c>
      <c r="F12" s="12" t="str">
        <f>"0968253146    "</f>
        <v xml:space="preserve">0968253146    </v>
      </c>
      <c r="G12" s="12" t="str">
        <f>"医療法人有働会"</f>
        <v>医療法人有働会</v>
      </c>
      <c r="H12" s="12" t="str">
        <f>"S36.03.25"</f>
        <v>S36.03.25</v>
      </c>
      <c r="I12" s="12" t="str">
        <f>"開設中"</f>
        <v>開設中</v>
      </c>
      <c r="J12" s="12">
        <v>195</v>
      </c>
      <c r="K12" s="12">
        <v>0</v>
      </c>
      <c r="L12" s="12">
        <v>0</v>
      </c>
      <c r="M12" s="12">
        <v>195</v>
      </c>
      <c r="N12" s="12">
        <v>0</v>
      </c>
      <c r="O12" s="12">
        <v>0</v>
      </c>
      <c r="P12" s="13" t="s">
        <v>208</v>
      </c>
      <c r="Q12" s="13" t="s">
        <v>208</v>
      </c>
      <c r="R12" s="13" t="s">
        <v>208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6"/>
    </row>
    <row r="13" spans="1:54" ht="24.75" customHeight="1" x14ac:dyDescent="0.4">
      <c r="A13" s="14">
        <v>9</v>
      </c>
      <c r="B13" s="13" t="str">
        <f t="shared" si="1"/>
        <v>菊池</v>
      </c>
      <c r="C13" s="12" t="str">
        <f>"国立療養所菊池恵楓園"</f>
        <v>国立療養所菊池恵楓園</v>
      </c>
      <c r="D13" s="12" t="str">
        <f>"861-1113"</f>
        <v>861-1113</v>
      </c>
      <c r="E13" s="12" t="s">
        <v>92</v>
      </c>
      <c r="F13" s="12" t="str">
        <f>"0962481131    "</f>
        <v xml:space="preserve">0962481131    </v>
      </c>
      <c r="G13" s="12" t="str">
        <f>"厚生労働省"</f>
        <v>厚生労働省</v>
      </c>
      <c r="H13" s="12" t="str">
        <f>"M42.04.01"</f>
        <v>M42.04.01</v>
      </c>
      <c r="I13" s="12" t="str">
        <f t="shared" ref="I13:I22" si="2">"開設中"</f>
        <v>開設中</v>
      </c>
      <c r="J13" s="12">
        <v>395</v>
      </c>
      <c r="K13" s="12">
        <v>395</v>
      </c>
      <c r="L13" s="12">
        <v>0</v>
      </c>
      <c r="M13" s="12">
        <v>0</v>
      </c>
      <c r="N13" s="12">
        <v>0</v>
      </c>
      <c r="O13" s="12">
        <v>0</v>
      </c>
      <c r="P13" s="13" t="s">
        <v>208</v>
      </c>
      <c r="Q13" s="13"/>
      <c r="R13" s="13" t="s">
        <v>208</v>
      </c>
      <c r="S13" s="13"/>
      <c r="T13" s="13"/>
      <c r="U13" s="13"/>
      <c r="V13" s="13"/>
      <c r="W13" s="13"/>
      <c r="X13" s="13"/>
      <c r="Y13" s="13"/>
      <c r="Z13" s="13"/>
      <c r="AA13" s="13"/>
      <c r="AB13" s="13" t="s">
        <v>208</v>
      </c>
      <c r="AC13" s="13" t="s">
        <v>208</v>
      </c>
      <c r="AD13" s="13"/>
      <c r="AE13" s="13"/>
      <c r="AF13" s="13"/>
      <c r="AG13" s="13"/>
      <c r="AH13" s="13"/>
      <c r="AI13" s="13"/>
      <c r="AJ13" s="13"/>
      <c r="AK13" s="13"/>
      <c r="AL13" s="13"/>
      <c r="AM13" s="13" t="s">
        <v>208</v>
      </c>
      <c r="AN13" s="13"/>
      <c r="AO13" s="13"/>
      <c r="AP13" s="13"/>
      <c r="AQ13" s="13"/>
      <c r="AR13" s="13" t="s">
        <v>208</v>
      </c>
      <c r="AS13" s="13" t="s">
        <v>208</v>
      </c>
      <c r="AT13" s="13"/>
      <c r="AU13" s="13"/>
      <c r="AV13" s="13"/>
      <c r="AW13" s="13" t="s">
        <v>208</v>
      </c>
      <c r="AX13" s="13"/>
      <c r="AY13" s="13"/>
      <c r="AZ13" s="13"/>
      <c r="BA13" s="13"/>
      <c r="BB13" s="16"/>
    </row>
    <row r="14" spans="1:54" ht="24.75" customHeight="1" x14ac:dyDescent="0.4">
      <c r="A14" s="14">
        <v>10</v>
      </c>
      <c r="B14" s="13" t="str">
        <f t="shared" si="1"/>
        <v>菊池</v>
      </c>
      <c r="C14" s="12" t="str">
        <f>"独立行政法人国立病院機構菊池病院"</f>
        <v>独立行政法人国立病院機構菊池病院</v>
      </c>
      <c r="D14" s="12" t="str">
        <f>"861-1116"</f>
        <v>861-1116</v>
      </c>
      <c r="E14" s="12" t="s">
        <v>93</v>
      </c>
      <c r="F14" s="12" t="str">
        <f>"0962482111    "</f>
        <v xml:space="preserve">0962482111    </v>
      </c>
      <c r="G14" s="12" t="str">
        <f>"独立行政法人国立病院機構"</f>
        <v>独立行政法人国立病院機構</v>
      </c>
      <c r="H14" s="12" t="str">
        <f>"S52.04.01"</f>
        <v>S52.04.01</v>
      </c>
      <c r="I14" s="12" t="str">
        <f t="shared" si="2"/>
        <v>開設中</v>
      </c>
      <c r="J14" s="12">
        <v>239</v>
      </c>
      <c r="K14" s="12">
        <v>100</v>
      </c>
      <c r="L14" s="12">
        <v>0</v>
      </c>
      <c r="M14" s="12">
        <v>139</v>
      </c>
      <c r="N14" s="12">
        <v>0</v>
      </c>
      <c r="O14" s="12">
        <v>0</v>
      </c>
      <c r="P14" s="13" t="s">
        <v>208</v>
      </c>
      <c r="Q14" s="13" t="s">
        <v>208</v>
      </c>
      <c r="R14" s="13" t="s">
        <v>208</v>
      </c>
      <c r="S14" s="13" t="s">
        <v>208</v>
      </c>
      <c r="T14" s="13"/>
      <c r="U14" s="13"/>
      <c r="V14" s="13"/>
      <c r="W14" s="13"/>
      <c r="X14" s="13"/>
      <c r="Y14" s="13"/>
      <c r="Z14" s="13"/>
      <c r="AA14" s="13" t="s">
        <v>208</v>
      </c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 t="s">
        <v>208</v>
      </c>
      <c r="AV14" s="13"/>
      <c r="AW14" s="13" t="s">
        <v>208</v>
      </c>
      <c r="AX14" s="13"/>
      <c r="AY14" s="13"/>
      <c r="AZ14" s="13"/>
      <c r="BA14" s="13"/>
      <c r="BB14" s="16"/>
    </row>
    <row r="15" spans="1:54" ht="24.75" customHeight="1" x14ac:dyDescent="0.4">
      <c r="A15" s="14">
        <v>11</v>
      </c>
      <c r="B15" s="13" t="str">
        <f t="shared" si="1"/>
        <v>菊池</v>
      </c>
      <c r="C15" s="12" t="str">
        <f>"独立行政法人国立病院機構熊本再春医療センター"</f>
        <v>独立行政法人国立病院機構熊本再春医療センター</v>
      </c>
      <c r="D15" s="12" t="str">
        <f>"861-1102"</f>
        <v>861-1102</v>
      </c>
      <c r="E15" s="12" t="s">
        <v>94</v>
      </c>
      <c r="F15" s="12" t="str">
        <f>"0962421000    "</f>
        <v xml:space="preserve">0962421000    </v>
      </c>
      <c r="G15" s="12" t="str">
        <f>"独立行政法人国立病院機構"</f>
        <v>独立行政法人国立病院機構</v>
      </c>
      <c r="H15" s="12" t="str">
        <f>"S20.12.01"</f>
        <v>S20.12.01</v>
      </c>
      <c r="I15" s="12" t="str">
        <f t="shared" si="2"/>
        <v>開設中</v>
      </c>
      <c r="J15" s="12">
        <v>446</v>
      </c>
      <c r="K15" s="12">
        <v>442</v>
      </c>
      <c r="L15" s="12">
        <v>0</v>
      </c>
      <c r="M15" s="12">
        <v>0</v>
      </c>
      <c r="N15" s="12">
        <v>0</v>
      </c>
      <c r="O15" s="12">
        <v>4</v>
      </c>
      <c r="P15" s="13" t="s">
        <v>208</v>
      </c>
      <c r="Q15" s="13"/>
      <c r="R15" s="13"/>
      <c r="S15" s="13"/>
      <c r="T15" s="13"/>
      <c r="U15" s="13"/>
      <c r="V15" s="13"/>
      <c r="W15" s="13"/>
      <c r="X15" s="13"/>
      <c r="Y15" s="13"/>
      <c r="Z15" s="13" t="s">
        <v>208</v>
      </c>
      <c r="AA15" s="13" t="s">
        <v>208</v>
      </c>
      <c r="AB15" s="13" t="s">
        <v>208</v>
      </c>
      <c r="AC15" s="13" t="s">
        <v>208</v>
      </c>
      <c r="AD15" s="13"/>
      <c r="AE15" s="13"/>
      <c r="AF15" s="13"/>
      <c r="AG15" s="13" t="s">
        <v>208</v>
      </c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 t="s">
        <v>208</v>
      </c>
      <c r="AV15" s="13" t="s">
        <v>208</v>
      </c>
      <c r="AW15" s="13"/>
      <c r="AX15" s="13"/>
      <c r="AY15" s="13"/>
      <c r="AZ15" s="13"/>
      <c r="BA15" s="13" t="s">
        <v>208</v>
      </c>
      <c r="BB15" s="16" t="s">
        <v>41</v>
      </c>
    </row>
    <row r="16" spans="1:54" ht="24.75" customHeight="1" x14ac:dyDescent="0.4">
      <c r="A16" s="14">
        <v>12</v>
      </c>
      <c r="B16" s="13" t="str">
        <f t="shared" si="1"/>
        <v>菊池</v>
      </c>
      <c r="C16" s="12" t="str">
        <f>"合志第一病院"</f>
        <v>合志第一病院</v>
      </c>
      <c r="D16" s="12" t="str">
        <f>"861-1104"</f>
        <v>861-1104</v>
      </c>
      <c r="E16" s="12" t="s">
        <v>95</v>
      </c>
      <c r="F16" s="12" t="str">
        <f>"0962422745    "</f>
        <v xml:space="preserve">0962422745    </v>
      </c>
      <c r="G16" s="12" t="str">
        <f>"特定医療法人　萬生会"</f>
        <v>特定医療法人　萬生会</v>
      </c>
      <c r="H16" s="12" t="str">
        <f>"S52.12.15"</f>
        <v>S52.12.15</v>
      </c>
      <c r="I16" s="12" t="str">
        <f t="shared" si="2"/>
        <v>開設中</v>
      </c>
      <c r="J16" s="12">
        <v>132</v>
      </c>
      <c r="K16" s="12">
        <v>67</v>
      </c>
      <c r="L16" s="12">
        <v>65</v>
      </c>
      <c r="M16" s="12">
        <v>0</v>
      </c>
      <c r="N16" s="12">
        <v>0</v>
      </c>
      <c r="O16" s="12">
        <v>0</v>
      </c>
      <c r="P16" s="13" t="s">
        <v>208</v>
      </c>
      <c r="Q16" s="13"/>
      <c r="R16" s="13"/>
      <c r="S16" s="13"/>
      <c r="T16" s="13"/>
      <c r="U16" s="13"/>
      <c r="V16" s="13"/>
      <c r="W16" s="13"/>
      <c r="X16" s="13"/>
      <c r="Y16" s="13"/>
      <c r="Z16" s="13" t="s">
        <v>208</v>
      </c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 t="s">
        <v>208</v>
      </c>
      <c r="AN16" s="13"/>
      <c r="AO16" s="13"/>
      <c r="AP16" s="13"/>
      <c r="AQ16" s="13"/>
      <c r="AR16" s="13"/>
      <c r="AS16" s="13"/>
      <c r="AT16" s="13"/>
      <c r="AU16" s="13" t="s">
        <v>208</v>
      </c>
      <c r="AV16" s="13"/>
      <c r="AW16" s="13"/>
      <c r="AX16" s="13"/>
      <c r="AY16" s="13"/>
      <c r="AZ16" s="13"/>
      <c r="BA16" s="13"/>
      <c r="BB16" s="16" t="s">
        <v>42</v>
      </c>
    </row>
    <row r="17" spans="1:54" ht="24.75" customHeight="1" x14ac:dyDescent="0.4">
      <c r="A17" s="14">
        <v>13</v>
      </c>
      <c r="B17" s="13" t="str">
        <f t="shared" si="1"/>
        <v>菊池</v>
      </c>
      <c r="C17" s="12" t="str">
        <f>"中山記念病院"</f>
        <v>中山記念病院</v>
      </c>
      <c r="D17" s="12" t="str">
        <f>"861-1102"</f>
        <v>861-1102</v>
      </c>
      <c r="E17" s="12" t="s">
        <v>96</v>
      </c>
      <c r="F17" s="12" t="str">
        <f>"0963432617    "</f>
        <v xml:space="preserve">0963432617    </v>
      </c>
      <c r="G17" s="12" t="str">
        <f>"医療法人　中山会"</f>
        <v>医療法人　中山会</v>
      </c>
      <c r="H17" s="12" t="str">
        <f>"S40.01.01"</f>
        <v>S40.01.01</v>
      </c>
      <c r="I17" s="12" t="str">
        <f t="shared" si="2"/>
        <v>開設中</v>
      </c>
      <c r="J17" s="12">
        <v>167</v>
      </c>
      <c r="K17" s="12">
        <v>0</v>
      </c>
      <c r="L17" s="12">
        <v>0</v>
      </c>
      <c r="M17" s="12">
        <v>167</v>
      </c>
      <c r="N17" s="12">
        <v>0</v>
      </c>
      <c r="O17" s="12">
        <v>0</v>
      </c>
      <c r="P17" s="13" t="s">
        <v>208</v>
      </c>
      <c r="Q17" s="13"/>
      <c r="R17" s="13" t="s">
        <v>208</v>
      </c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6"/>
    </row>
    <row r="18" spans="1:54" ht="24.75" customHeight="1" x14ac:dyDescent="0.4">
      <c r="A18" s="14">
        <v>14</v>
      </c>
      <c r="B18" s="13" t="str">
        <f t="shared" si="1"/>
        <v>菊池</v>
      </c>
      <c r="C18" s="12" t="str">
        <f>"岸病院"</f>
        <v>岸病院</v>
      </c>
      <c r="D18" s="12" t="str">
        <f>"861-1212"</f>
        <v>861-1212</v>
      </c>
      <c r="E18" s="12" t="s">
        <v>97</v>
      </c>
      <c r="F18" s="12" t="str">
        <f>"0968382750    "</f>
        <v xml:space="preserve">0968382750    </v>
      </c>
      <c r="G18" s="12" t="str">
        <f>"医療法人 菊芳会"</f>
        <v>医療法人 菊芳会</v>
      </c>
      <c r="H18" s="12" t="str">
        <f>"S47.03.31"</f>
        <v>S47.03.31</v>
      </c>
      <c r="I18" s="12" t="str">
        <f t="shared" si="2"/>
        <v>開設中</v>
      </c>
      <c r="J18" s="12">
        <v>32</v>
      </c>
      <c r="K18" s="12">
        <v>0</v>
      </c>
      <c r="L18" s="12">
        <v>32</v>
      </c>
      <c r="M18" s="12">
        <v>0</v>
      </c>
      <c r="N18" s="12">
        <v>0</v>
      </c>
      <c r="O18" s="12">
        <v>0</v>
      </c>
      <c r="P18" s="13" t="s">
        <v>208</v>
      </c>
      <c r="Q18" s="13"/>
      <c r="R18" s="13"/>
      <c r="S18" s="13"/>
      <c r="T18" s="13"/>
      <c r="U18" s="13"/>
      <c r="V18" s="13"/>
      <c r="W18" s="13" t="s">
        <v>208</v>
      </c>
      <c r="X18" s="13" t="s">
        <v>208</v>
      </c>
      <c r="Y18" s="13"/>
      <c r="Z18" s="13"/>
      <c r="AA18" s="13"/>
      <c r="AB18" s="13" t="s">
        <v>208</v>
      </c>
      <c r="AC18" s="13" t="s">
        <v>208</v>
      </c>
      <c r="AD18" s="13"/>
      <c r="AE18" s="13"/>
      <c r="AF18" s="13"/>
      <c r="AG18" s="13"/>
      <c r="AH18" s="13"/>
      <c r="AI18" s="13"/>
      <c r="AJ18" s="13"/>
      <c r="AK18" s="13" t="s">
        <v>208</v>
      </c>
      <c r="AL18" s="13"/>
      <c r="AM18" s="13" t="s">
        <v>208</v>
      </c>
      <c r="AN18" s="13" t="s">
        <v>208</v>
      </c>
      <c r="AO18" s="13"/>
      <c r="AP18" s="13"/>
      <c r="AQ18" s="13"/>
      <c r="AR18" s="13"/>
      <c r="AS18" s="13"/>
      <c r="AT18" s="13"/>
      <c r="AU18" s="13" t="s">
        <v>208</v>
      </c>
      <c r="AV18" s="13"/>
      <c r="AW18" s="13"/>
      <c r="AX18" s="13"/>
      <c r="AY18" s="13"/>
      <c r="AZ18" s="13"/>
      <c r="BA18" s="13" t="s">
        <v>208</v>
      </c>
      <c r="BB18" s="16"/>
    </row>
    <row r="19" spans="1:54" ht="24.75" customHeight="1" x14ac:dyDescent="0.4">
      <c r="A19" s="14">
        <v>15</v>
      </c>
      <c r="B19" s="13" t="str">
        <f t="shared" si="1"/>
        <v>菊池</v>
      </c>
      <c r="C19" s="12" t="str">
        <f>"菊陽台病院"</f>
        <v>菊陽台病院</v>
      </c>
      <c r="D19" s="12" t="str">
        <f>"869-1103"</f>
        <v>869-1103</v>
      </c>
      <c r="E19" s="12" t="s">
        <v>98</v>
      </c>
      <c r="F19" s="12" t="str">
        <f>"0962321191    "</f>
        <v xml:space="preserve">0962321191    </v>
      </c>
      <c r="G19" s="12" t="str">
        <f>"医療法人社団　熊本清仁会"</f>
        <v>医療法人社団　熊本清仁会</v>
      </c>
      <c r="H19" s="12" t="str">
        <f>"S55.05.31"</f>
        <v>S55.05.31</v>
      </c>
      <c r="I19" s="12" t="str">
        <f t="shared" si="2"/>
        <v>開設中</v>
      </c>
      <c r="J19" s="12">
        <v>74</v>
      </c>
      <c r="K19" s="12">
        <v>35</v>
      </c>
      <c r="L19" s="12">
        <v>39</v>
      </c>
      <c r="M19" s="12">
        <v>0</v>
      </c>
      <c r="N19" s="12">
        <v>0</v>
      </c>
      <c r="O19" s="12">
        <v>0</v>
      </c>
      <c r="P19" s="13" t="s">
        <v>208</v>
      </c>
      <c r="Q19" s="13"/>
      <c r="R19" s="13"/>
      <c r="S19" s="13"/>
      <c r="T19" s="13" t="s">
        <v>208</v>
      </c>
      <c r="U19" s="13" t="s">
        <v>208</v>
      </c>
      <c r="V19" s="13" t="s">
        <v>208</v>
      </c>
      <c r="W19" s="13" t="s">
        <v>208</v>
      </c>
      <c r="X19" s="13" t="s">
        <v>208</v>
      </c>
      <c r="Y19" s="13"/>
      <c r="Z19" s="13" t="s">
        <v>208</v>
      </c>
      <c r="AA19" s="13"/>
      <c r="AB19" s="13"/>
      <c r="AC19" s="13" t="s">
        <v>208</v>
      </c>
      <c r="AD19" s="13"/>
      <c r="AE19" s="13"/>
      <c r="AF19" s="13"/>
      <c r="AG19" s="13"/>
      <c r="AH19" s="13"/>
      <c r="AI19" s="13"/>
      <c r="AJ19" s="13"/>
      <c r="AK19" s="13"/>
      <c r="AL19" s="13"/>
      <c r="AM19" s="13" t="s">
        <v>208</v>
      </c>
      <c r="AN19" s="13"/>
      <c r="AO19" s="13"/>
      <c r="AP19" s="13"/>
      <c r="AQ19" s="13"/>
      <c r="AR19" s="13"/>
      <c r="AS19" s="13"/>
      <c r="AT19" s="13"/>
      <c r="AU19" s="13" t="s">
        <v>208</v>
      </c>
      <c r="AV19" s="13" t="s">
        <v>208</v>
      </c>
      <c r="AW19" s="13"/>
      <c r="AX19" s="13"/>
      <c r="AY19" s="13"/>
      <c r="AZ19" s="13"/>
      <c r="BA19" s="13"/>
      <c r="BB19" s="16"/>
    </row>
    <row r="20" spans="1:54" ht="24.75" customHeight="1" x14ac:dyDescent="0.4">
      <c r="A20" s="14">
        <v>16</v>
      </c>
      <c r="B20" s="13" t="str">
        <f t="shared" si="1"/>
        <v>菊池</v>
      </c>
      <c r="C20" s="12" t="str">
        <f>"菊陽病院"</f>
        <v>菊陽病院</v>
      </c>
      <c r="D20" s="12" t="str">
        <f>"869-1102"</f>
        <v>869-1102</v>
      </c>
      <c r="E20" s="12" t="s">
        <v>99</v>
      </c>
      <c r="F20" s="12" t="str">
        <f>"0962323171    "</f>
        <v xml:space="preserve">0962323171    </v>
      </c>
      <c r="G20" s="12" t="str">
        <f>"社会医療法人　芳和会"</f>
        <v>社会医療法人　芳和会</v>
      </c>
      <c r="H20" s="12" t="str">
        <f>"S51.10.27"</f>
        <v>S51.10.27</v>
      </c>
      <c r="I20" s="12" t="str">
        <f t="shared" si="2"/>
        <v>開設中</v>
      </c>
      <c r="J20" s="12">
        <v>315</v>
      </c>
      <c r="K20" s="12">
        <v>0</v>
      </c>
      <c r="L20" s="12">
        <v>0</v>
      </c>
      <c r="M20" s="12">
        <v>315</v>
      </c>
      <c r="N20" s="12">
        <v>0</v>
      </c>
      <c r="O20" s="12">
        <v>0</v>
      </c>
      <c r="P20" s="13" t="s">
        <v>208</v>
      </c>
      <c r="Q20" s="13"/>
      <c r="R20" s="13" t="s">
        <v>208</v>
      </c>
      <c r="S20" s="13" t="s">
        <v>208</v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 t="s">
        <v>208</v>
      </c>
      <c r="AW20" s="13" t="s">
        <v>208</v>
      </c>
      <c r="AX20" s="13"/>
      <c r="AY20" s="13"/>
      <c r="AZ20" s="13"/>
      <c r="BA20" s="13"/>
      <c r="BB20" s="16"/>
    </row>
    <row r="21" spans="1:54" ht="24.75" customHeight="1" x14ac:dyDescent="0.4">
      <c r="A21" s="14">
        <v>17</v>
      </c>
      <c r="B21" s="13" t="str">
        <f t="shared" si="1"/>
        <v>菊池</v>
      </c>
      <c r="C21" s="12" t="str">
        <f>"東熊本第二病院"</f>
        <v>東熊本第二病院</v>
      </c>
      <c r="D21" s="12" t="str">
        <f>"869-1107"</f>
        <v>869-1107</v>
      </c>
      <c r="E21" s="12" t="s">
        <v>100</v>
      </c>
      <c r="F21" s="12" t="str">
        <f>"0962323939    "</f>
        <v xml:space="preserve">0962323939    </v>
      </c>
      <c r="G21" s="12" t="str">
        <f>"医療法人　永田会"</f>
        <v>医療法人　永田会</v>
      </c>
      <c r="H21" s="12" t="str">
        <f>"H14.11.19"</f>
        <v>H14.11.19</v>
      </c>
      <c r="I21" s="12" t="str">
        <f t="shared" si="2"/>
        <v>開設中</v>
      </c>
      <c r="J21" s="12">
        <v>111</v>
      </c>
      <c r="K21" s="12">
        <v>60</v>
      </c>
      <c r="L21" s="12">
        <v>51</v>
      </c>
      <c r="M21" s="12">
        <v>0</v>
      </c>
      <c r="N21" s="12">
        <v>0</v>
      </c>
      <c r="O21" s="12">
        <v>0</v>
      </c>
      <c r="P21" s="13" t="s">
        <v>208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 t="s">
        <v>208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 t="s">
        <v>208</v>
      </c>
      <c r="AN21" s="13"/>
      <c r="AO21" s="13"/>
      <c r="AP21" s="13"/>
      <c r="AQ21" s="13"/>
      <c r="AR21" s="13"/>
      <c r="AS21" s="13"/>
      <c r="AT21" s="13"/>
      <c r="AU21" s="13" t="s">
        <v>208</v>
      </c>
      <c r="AV21" s="13" t="s">
        <v>208</v>
      </c>
      <c r="AW21" s="13"/>
      <c r="AX21" s="13"/>
      <c r="AY21" s="13"/>
      <c r="AZ21" s="13"/>
      <c r="BA21" s="13"/>
      <c r="BB21" s="16" t="s">
        <v>43</v>
      </c>
    </row>
    <row r="22" spans="1:54" ht="24.75" customHeight="1" x14ac:dyDescent="0.4">
      <c r="A22" s="14">
        <v>18</v>
      </c>
      <c r="B22" s="13" t="str">
        <f t="shared" si="1"/>
        <v>菊池</v>
      </c>
      <c r="C22" s="12" t="str">
        <f>"熊本リハビリテーション病院"</f>
        <v>熊本リハビリテーション病院</v>
      </c>
      <c r="D22" s="12" t="str">
        <f>"869-1106"</f>
        <v>869-1106</v>
      </c>
      <c r="E22" s="12" t="s">
        <v>101</v>
      </c>
      <c r="F22" s="12" t="str">
        <f>"0962323111    "</f>
        <v xml:space="preserve">0962323111    </v>
      </c>
      <c r="G22" s="12" t="str">
        <f>"社会医療法人　令和会"</f>
        <v>社会医療法人　令和会</v>
      </c>
      <c r="H22" s="12" t="str">
        <f>"S49.04.30"</f>
        <v>S49.04.30</v>
      </c>
      <c r="I22" s="12" t="str">
        <f t="shared" si="2"/>
        <v>開設中</v>
      </c>
      <c r="J22" s="12">
        <v>225</v>
      </c>
      <c r="K22" s="12">
        <v>225</v>
      </c>
      <c r="L22" s="12">
        <v>0</v>
      </c>
      <c r="M22" s="12">
        <v>0</v>
      </c>
      <c r="N22" s="12">
        <v>0</v>
      </c>
      <c r="O22" s="12">
        <v>0</v>
      </c>
      <c r="P22" s="13" t="s">
        <v>208</v>
      </c>
      <c r="Q22" s="13"/>
      <c r="R22" s="13"/>
      <c r="S22" s="13"/>
      <c r="T22" s="13"/>
      <c r="U22" s="13" t="s">
        <v>208</v>
      </c>
      <c r="V22" s="13" t="s">
        <v>208</v>
      </c>
      <c r="W22" s="13"/>
      <c r="X22" s="13" t="s">
        <v>208</v>
      </c>
      <c r="Y22" s="13"/>
      <c r="Z22" s="13" t="s">
        <v>208</v>
      </c>
      <c r="AA22" s="13"/>
      <c r="AB22" s="13"/>
      <c r="AC22" s="13" t="s">
        <v>208</v>
      </c>
      <c r="AD22" s="13" t="s">
        <v>208</v>
      </c>
      <c r="AE22" s="13"/>
      <c r="AF22" s="13" t="s">
        <v>208</v>
      </c>
      <c r="AG22" s="13"/>
      <c r="AH22" s="13" t="s">
        <v>208</v>
      </c>
      <c r="AI22" s="13"/>
      <c r="AJ22" s="13"/>
      <c r="AK22" s="13"/>
      <c r="AL22" s="13"/>
      <c r="AM22" s="13"/>
      <c r="AN22" s="13" t="s">
        <v>208</v>
      </c>
      <c r="AO22" s="13"/>
      <c r="AP22" s="13"/>
      <c r="AQ22" s="13"/>
      <c r="AR22" s="13"/>
      <c r="AS22" s="13"/>
      <c r="AT22" s="13"/>
      <c r="AU22" s="13" t="s">
        <v>208</v>
      </c>
      <c r="AV22" s="13" t="s">
        <v>208</v>
      </c>
      <c r="AW22" s="13" t="s">
        <v>208</v>
      </c>
      <c r="AX22" s="13"/>
      <c r="AY22" s="13"/>
      <c r="AZ22" s="13" t="s">
        <v>208</v>
      </c>
      <c r="BA22" s="13" t="s">
        <v>208</v>
      </c>
      <c r="BB22" s="16" t="s">
        <v>44</v>
      </c>
    </row>
    <row r="23" spans="1:54" ht="24.75" customHeight="1" x14ac:dyDescent="0.4">
      <c r="A23" s="14">
        <v>19</v>
      </c>
      <c r="B23" s="13" t="str">
        <f t="shared" si="1"/>
        <v>菊池</v>
      </c>
      <c r="C23" s="12" t="str">
        <f>"阿梨花病院大津"</f>
        <v>阿梨花病院大津</v>
      </c>
      <c r="D23" s="12" t="str">
        <f>"869-1235"</f>
        <v>869-1235</v>
      </c>
      <c r="E23" s="12" t="s">
        <v>102</v>
      </c>
      <c r="F23" s="12" t="str">
        <f>"0962935000    "</f>
        <v xml:space="preserve">0962935000    </v>
      </c>
      <c r="G23" s="12" t="str">
        <f>"医療法人社団　坂梨会"</f>
        <v>医療法人社団　坂梨会</v>
      </c>
      <c r="H23" s="12" t="str">
        <f>"H03.12.01"</f>
        <v>H03.12.01</v>
      </c>
      <c r="I23" s="12" t="str">
        <f t="shared" ref="I23:I28" si="3">"開設中"</f>
        <v>開設中</v>
      </c>
      <c r="J23" s="12">
        <v>60</v>
      </c>
      <c r="K23" s="12">
        <v>20</v>
      </c>
      <c r="L23" s="12">
        <v>40</v>
      </c>
      <c r="M23" s="12">
        <v>0</v>
      </c>
      <c r="N23" s="12">
        <v>0</v>
      </c>
      <c r="O23" s="12">
        <v>0</v>
      </c>
      <c r="P23" s="13" t="s">
        <v>208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 t="s">
        <v>208</v>
      </c>
      <c r="AC23" s="13" t="s">
        <v>208</v>
      </c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 t="s">
        <v>208</v>
      </c>
      <c r="AV23" s="13" t="s">
        <v>208</v>
      </c>
      <c r="AW23" s="13"/>
      <c r="AX23" s="13"/>
      <c r="AY23" s="13"/>
      <c r="AZ23" s="13"/>
      <c r="BA23" s="13"/>
      <c r="BB23" s="16" t="s">
        <v>45</v>
      </c>
    </row>
    <row r="24" spans="1:54" ht="24.75" customHeight="1" x14ac:dyDescent="0.4">
      <c r="A24" s="14">
        <v>20</v>
      </c>
      <c r="B24" s="13" t="str">
        <f t="shared" si="1"/>
        <v>菊池</v>
      </c>
      <c r="C24" s="12" t="str">
        <f>"川口病院"</f>
        <v>川口病院</v>
      </c>
      <c r="D24" s="12" t="str">
        <f>"861-1331"</f>
        <v>861-1331</v>
      </c>
      <c r="E24" s="12" t="s">
        <v>91</v>
      </c>
      <c r="F24" s="12" t="str">
        <f>"0968252230    "</f>
        <v xml:space="preserve">0968252230    </v>
      </c>
      <c r="G24" s="12" t="str">
        <f>"医療法人　川口会"</f>
        <v>医療法人　川口会</v>
      </c>
      <c r="H24" s="12" t="str">
        <f>"H24.07.01"</f>
        <v>H24.07.01</v>
      </c>
      <c r="I24" s="12" t="str">
        <f t="shared" si="3"/>
        <v>開設中</v>
      </c>
      <c r="J24" s="12">
        <v>60</v>
      </c>
      <c r="K24" s="12">
        <v>60</v>
      </c>
      <c r="L24" s="12">
        <v>0</v>
      </c>
      <c r="M24" s="12">
        <v>0</v>
      </c>
      <c r="N24" s="12">
        <v>0</v>
      </c>
      <c r="O24" s="12">
        <v>0</v>
      </c>
      <c r="P24" s="13" t="s">
        <v>208</v>
      </c>
      <c r="Q24" s="13"/>
      <c r="R24" s="13"/>
      <c r="S24" s="13"/>
      <c r="T24" s="13"/>
      <c r="U24" s="13"/>
      <c r="V24" s="13" t="s">
        <v>208</v>
      </c>
      <c r="W24" s="13"/>
      <c r="X24" s="13" t="s">
        <v>208</v>
      </c>
      <c r="Y24" s="13"/>
      <c r="Z24" s="13" t="s">
        <v>208</v>
      </c>
      <c r="AA24" s="13"/>
      <c r="AB24" s="13" t="s">
        <v>208</v>
      </c>
      <c r="AC24" s="13" t="s">
        <v>208</v>
      </c>
      <c r="AD24" s="13"/>
      <c r="AE24" s="13"/>
      <c r="AF24" s="13"/>
      <c r="AG24" s="13"/>
      <c r="AH24" s="13"/>
      <c r="AI24" s="13"/>
      <c r="AJ24" s="13" t="s">
        <v>208</v>
      </c>
      <c r="AK24" s="13" t="s">
        <v>208</v>
      </c>
      <c r="AL24" s="13"/>
      <c r="AM24" s="13" t="s">
        <v>208</v>
      </c>
      <c r="AN24" s="13" t="s">
        <v>208</v>
      </c>
      <c r="AO24" s="13"/>
      <c r="AP24" s="13"/>
      <c r="AQ24" s="13"/>
      <c r="AR24" s="13"/>
      <c r="AS24" s="13"/>
      <c r="AT24" s="13"/>
      <c r="AU24" s="13" t="s">
        <v>208</v>
      </c>
      <c r="AV24" s="13" t="s">
        <v>208</v>
      </c>
      <c r="AW24" s="13"/>
      <c r="AX24" s="13"/>
      <c r="AY24" s="13"/>
      <c r="AZ24" s="13"/>
      <c r="BA24" s="13" t="s">
        <v>208</v>
      </c>
      <c r="BB24" s="16"/>
    </row>
    <row r="25" spans="1:54" ht="24.75" customHeight="1" x14ac:dyDescent="0.4">
      <c r="A25" s="14">
        <v>21</v>
      </c>
      <c r="B25" s="13" t="str">
        <f t="shared" si="1"/>
        <v>菊池</v>
      </c>
      <c r="C25" s="12" t="str">
        <f>"菊池郡市医師会立病院"</f>
        <v>菊池郡市医師会立病院</v>
      </c>
      <c r="D25" s="12" t="str">
        <f>"861-1306"</f>
        <v>861-1306</v>
      </c>
      <c r="E25" s="12" t="s">
        <v>103</v>
      </c>
      <c r="F25" s="12" t="str">
        <f>"0968252191    "</f>
        <v xml:space="preserve">0968252191    </v>
      </c>
      <c r="G25" s="12" t="str">
        <f>"一般社団法人菊池郡市医師会"</f>
        <v>一般社団法人菊池郡市医師会</v>
      </c>
      <c r="H25" s="12" t="str">
        <f>"H24.10.01"</f>
        <v>H24.10.01</v>
      </c>
      <c r="I25" s="12" t="str">
        <f t="shared" si="3"/>
        <v>開設中</v>
      </c>
      <c r="J25" s="12">
        <v>124</v>
      </c>
      <c r="K25" s="12">
        <v>80</v>
      </c>
      <c r="L25" s="12">
        <v>40</v>
      </c>
      <c r="M25" s="12">
        <v>0</v>
      </c>
      <c r="N25" s="12">
        <v>0</v>
      </c>
      <c r="O25" s="12">
        <v>4</v>
      </c>
      <c r="P25" s="13" t="s">
        <v>208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 t="s">
        <v>208</v>
      </c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 t="s">
        <v>208</v>
      </c>
      <c r="AV25" s="13" t="s">
        <v>208</v>
      </c>
      <c r="AW25" s="13"/>
      <c r="AX25" s="13"/>
      <c r="AY25" s="13"/>
      <c r="AZ25" s="13"/>
      <c r="BA25" s="13"/>
      <c r="BB25" s="16" t="s">
        <v>46</v>
      </c>
    </row>
    <row r="26" spans="1:54" ht="24.75" customHeight="1" x14ac:dyDescent="0.4">
      <c r="A26" s="14">
        <v>22</v>
      </c>
      <c r="B26" s="13" t="str">
        <f t="shared" si="1"/>
        <v>菊池</v>
      </c>
      <c r="C26" s="12" t="str">
        <f>"熊本セントラル病院"</f>
        <v>熊本セントラル病院</v>
      </c>
      <c r="D26" s="12" t="str">
        <f>"869-1102"</f>
        <v>869-1102</v>
      </c>
      <c r="E26" s="12" t="s">
        <v>104</v>
      </c>
      <c r="F26" s="12" t="str">
        <f>"0963405001    "</f>
        <v xml:space="preserve">0963405001    </v>
      </c>
      <c r="G26" s="12" t="str">
        <f>"社会医療法人　潤心会"</f>
        <v>社会医療法人　潤心会</v>
      </c>
      <c r="H26" s="12" t="str">
        <f>"R02.10.02"</f>
        <v>R02.10.02</v>
      </c>
      <c r="I26" s="12" t="str">
        <f t="shared" si="3"/>
        <v>開設中</v>
      </c>
      <c r="J26" s="12">
        <v>246</v>
      </c>
      <c r="K26" s="12">
        <v>246</v>
      </c>
      <c r="L26" s="12">
        <v>0</v>
      </c>
      <c r="M26" s="12">
        <v>0</v>
      </c>
      <c r="N26" s="12">
        <v>0</v>
      </c>
      <c r="O26" s="12">
        <v>0</v>
      </c>
      <c r="P26" s="13" t="s">
        <v>208</v>
      </c>
      <c r="Q26" s="13"/>
      <c r="R26" s="13" t="s">
        <v>208</v>
      </c>
      <c r="S26" s="13"/>
      <c r="T26" s="13"/>
      <c r="U26" s="13"/>
      <c r="V26" s="13"/>
      <c r="W26" s="13"/>
      <c r="X26" s="13"/>
      <c r="Y26" s="13"/>
      <c r="Z26" s="13"/>
      <c r="AA26" s="13"/>
      <c r="AB26" s="13" t="s">
        <v>208</v>
      </c>
      <c r="AC26" s="13" t="s">
        <v>208</v>
      </c>
      <c r="AD26" s="13" t="s">
        <v>208</v>
      </c>
      <c r="AE26" s="13"/>
      <c r="AF26" s="13" t="s">
        <v>208</v>
      </c>
      <c r="AG26" s="13"/>
      <c r="AH26" s="13" t="s">
        <v>208</v>
      </c>
      <c r="AI26" s="13"/>
      <c r="AJ26" s="13"/>
      <c r="AK26" s="13"/>
      <c r="AL26" s="13"/>
      <c r="AM26" s="13" t="s">
        <v>208</v>
      </c>
      <c r="AN26" s="13" t="s">
        <v>208</v>
      </c>
      <c r="AO26" s="13"/>
      <c r="AP26" s="13"/>
      <c r="AQ26" s="13"/>
      <c r="AR26" s="13"/>
      <c r="AS26" s="13" t="s">
        <v>208</v>
      </c>
      <c r="AT26" s="13"/>
      <c r="AU26" s="13" t="s">
        <v>208</v>
      </c>
      <c r="AV26" s="13" t="s">
        <v>208</v>
      </c>
      <c r="AW26" s="13"/>
      <c r="AX26" s="13"/>
      <c r="AY26" s="13"/>
      <c r="AZ26" s="13"/>
      <c r="BA26" s="13" t="s">
        <v>208</v>
      </c>
      <c r="BB26" s="16" t="s">
        <v>47</v>
      </c>
    </row>
    <row r="27" spans="1:54" ht="24.75" customHeight="1" x14ac:dyDescent="0.4">
      <c r="A27" s="14">
        <v>23</v>
      </c>
      <c r="B27" s="11" t="s">
        <v>211</v>
      </c>
      <c r="C27" s="12" t="str">
        <f>"阿蘇温泉病院"</f>
        <v>阿蘇温泉病院</v>
      </c>
      <c r="D27" s="12" t="str">
        <f>"869-2301"</f>
        <v>869-2301</v>
      </c>
      <c r="E27" s="12" t="s">
        <v>105</v>
      </c>
      <c r="F27" s="12" t="str">
        <f>"0967320881    "</f>
        <v xml:space="preserve">0967320881    </v>
      </c>
      <c r="G27" s="12" t="str">
        <f>"医療法人社団　坂梨会"</f>
        <v>医療法人社団　坂梨会</v>
      </c>
      <c r="H27" s="12" t="str">
        <f>"S50.10.31"</f>
        <v>S50.10.31</v>
      </c>
      <c r="I27" s="12" t="str">
        <f t="shared" si="3"/>
        <v>開設中</v>
      </c>
      <c r="J27" s="12">
        <v>260</v>
      </c>
      <c r="K27" s="12">
        <v>80</v>
      </c>
      <c r="L27" s="12">
        <v>180</v>
      </c>
      <c r="M27" s="12">
        <v>0</v>
      </c>
      <c r="N27" s="12">
        <v>0</v>
      </c>
      <c r="O27" s="12">
        <v>0</v>
      </c>
      <c r="P27" s="13" t="s">
        <v>208</v>
      </c>
      <c r="Q27" s="13"/>
      <c r="R27" s="13"/>
      <c r="S27" s="13"/>
      <c r="T27" s="13"/>
      <c r="U27" s="13" t="s">
        <v>208</v>
      </c>
      <c r="V27" s="13" t="s">
        <v>208</v>
      </c>
      <c r="W27" s="13"/>
      <c r="X27" s="13" t="s">
        <v>208</v>
      </c>
      <c r="Y27" s="13" t="s">
        <v>208</v>
      </c>
      <c r="Z27" s="13"/>
      <c r="AA27" s="13" t="s">
        <v>208</v>
      </c>
      <c r="AB27" s="13" t="s">
        <v>208</v>
      </c>
      <c r="AC27" s="13" t="s">
        <v>208</v>
      </c>
      <c r="AD27" s="13"/>
      <c r="AE27" s="13"/>
      <c r="AF27" s="13" t="s">
        <v>208</v>
      </c>
      <c r="AG27" s="13"/>
      <c r="AH27" s="13"/>
      <c r="AI27" s="13"/>
      <c r="AJ27" s="13"/>
      <c r="AK27" s="13"/>
      <c r="AL27" s="13"/>
      <c r="AM27" s="13" t="s">
        <v>208</v>
      </c>
      <c r="AN27" s="13" t="s">
        <v>208</v>
      </c>
      <c r="AO27" s="13" t="s">
        <v>208</v>
      </c>
      <c r="AP27" s="13"/>
      <c r="AQ27" s="13"/>
      <c r="AR27" s="13" t="s">
        <v>208</v>
      </c>
      <c r="AS27" s="13" t="s">
        <v>208</v>
      </c>
      <c r="AT27" s="13"/>
      <c r="AU27" s="13" t="s">
        <v>208</v>
      </c>
      <c r="AV27" s="13"/>
      <c r="AW27" s="13" t="s">
        <v>208</v>
      </c>
      <c r="AX27" s="13"/>
      <c r="AY27" s="13"/>
      <c r="AZ27" s="13"/>
      <c r="BA27" s="13" t="s">
        <v>208</v>
      </c>
      <c r="BB27" s="16" t="s">
        <v>48</v>
      </c>
    </row>
    <row r="28" spans="1:54" ht="24.75" customHeight="1" x14ac:dyDescent="0.4">
      <c r="A28" s="14">
        <v>24</v>
      </c>
      <c r="B28" s="11" t="s">
        <v>211</v>
      </c>
      <c r="C28" s="12" t="str">
        <f>"阿蘇立野病院"</f>
        <v>阿蘇立野病院</v>
      </c>
      <c r="D28" s="12" t="str">
        <f>"869-1401"</f>
        <v>869-1401</v>
      </c>
      <c r="E28" s="12" t="s">
        <v>106</v>
      </c>
      <c r="F28" s="12" t="str">
        <f>"0967680111    "</f>
        <v xml:space="preserve">0967680111    </v>
      </c>
      <c r="G28" s="12" t="str">
        <f>"医療法人社団　順幸会"</f>
        <v>医療法人社団　順幸会</v>
      </c>
      <c r="H28" s="12" t="str">
        <f>"H01.04.01"</f>
        <v>H01.04.01</v>
      </c>
      <c r="I28" s="12" t="str">
        <f t="shared" si="3"/>
        <v>開設中</v>
      </c>
      <c r="J28" s="12">
        <v>88</v>
      </c>
      <c r="K28" s="12">
        <v>56</v>
      </c>
      <c r="L28" s="12">
        <v>32</v>
      </c>
      <c r="M28" s="12">
        <v>0</v>
      </c>
      <c r="N28" s="12">
        <v>0</v>
      </c>
      <c r="O28" s="12">
        <v>0</v>
      </c>
      <c r="P28" s="13" t="s">
        <v>208</v>
      </c>
      <c r="Q28" s="13"/>
      <c r="R28" s="13"/>
      <c r="S28" s="13"/>
      <c r="T28" s="13"/>
      <c r="U28" s="13"/>
      <c r="V28" s="13" t="s">
        <v>208</v>
      </c>
      <c r="W28" s="13"/>
      <c r="X28" s="13" t="s">
        <v>208</v>
      </c>
      <c r="Y28" s="13"/>
      <c r="Z28" s="13"/>
      <c r="AA28" s="13"/>
      <c r="AB28" s="13" t="s">
        <v>208</v>
      </c>
      <c r="AC28" s="13" t="s">
        <v>208</v>
      </c>
      <c r="AD28" s="13"/>
      <c r="AE28" s="13"/>
      <c r="AF28" s="13"/>
      <c r="AG28" s="13"/>
      <c r="AH28" s="13" t="s">
        <v>208</v>
      </c>
      <c r="AI28" s="13"/>
      <c r="AJ28" s="13"/>
      <c r="AK28" s="13"/>
      <c r="AL28" s="13"/>
      <c r="AM28" s="13"/>
      <c r="AN28" s="13" t="s">
        <v>208</v>
      </c>
      <c r="AO28" s="13"/>
      <c r="AP28" s="13"/>
      <c r="AQ28" s="13"/>
      <c r="AR28" s="13"/>
      <c r="AS28" s="13"/>
      <c r="AT28" s="13"/>
      <c r="AU28" s="13" t="s">
        <v>208</v>
      </c>
      <c r="AV28" s="13" t="s">
        <v>208</v>
      </c>
      <c r="AW28" s="13"/>
      <c r="AX28" s="13"/>
      <c r="AY28" s="13"/>
      <c r="AZ28" s="13"/>
      <c r="BA28" s="13"/>
      <c r="BB28" s="16" t="s">
        <v>49</v>
      </c>
    </row>
    <row r="29" spans="1:54" ht="24.75" customHeight="1" x14ac:dyDescent="0.4">
      <c r="A29" s="14">
        <v>25</v>
      </c>
      <c r="B29" s="11" t="s">
        <v>211</v>
      </c>
      <c r="C29" s="12" t="str">
        <f>"阿蘇やまなみ病院"</f>
        <v>阿蘇やまなみ病院</v>
      </c>
      <c r="D29" s="12" t="str">
        <f>"869-2612"</f>
        <v>869-2612</v>
      </c>
      <c r="E29" s="12" t="s">
        <v>107</v>
      </c>
      <c r="F29" s="12" t="str">
        <f>"0967220525    "</f>
        <v xml:space="preserve">0967220525    </v>
      </c>
      <c r="G29" s="12" t="str">
        <f>"医療法人高森会"</f>
        <v>医療法人高森会</v>
      </c>
      <c r="H29" s="12" t="str">
        <f>"H10.10.05"</f>
        <v>H10.10.05</v>
      </c>
      <c r="I29" s="12" t="str">
        <f>"開設中"</f>
        <v>開設中</v>
      </c>
      <c r="J29" s="12">
        <v>270</v>
      </c>
      <c r="K29" s="12">
        <v>0</v>
      </c>
      <c r="L29" s="12">
        <v>0</v>
      </c>
      <c r="M29" s="12">
        <v>270</v>
      </c>
      <c r="N29" s="12">
        <v>0</v>
      </c>
      <c r="O29" s="12">
        <v>0</v>
      </c>
      <c r="P29" s="13" t="s">
        <v>208</v>
      </c>
      <c r="Q29" s="13" t="s">
        <v>208</v>
      </c>
      <c r="R29" s="13" t="s">
        <v>208</v>
      </c>
      <c r="S29" s="13" t="s">
        <v>208</v>
      </c>
      <c r="T29" s="13"/>
      <c r="U29" s="13"/>
      <c r="V29" s="13"/>
      <c r="W29" s="13"/>
      <c r="X29" s="13"/>
      <c r="Y29" s="13"/>
      <c r="Z29" s="13"/>
      <c r="AA29" s="13"/>
      <c r="AB29" s="13" t="s">
        <v>208</v>
      </c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 t="s">
        <v>208</v>
      </c>
      <c r="BB29" s="16"/>
    </row>
    <row r="30" spans="1:54" ht="24.75" customHeight="1" x14ac:dyDescent="0.4">
      <c r="A30" s="14">
        <v>26</v>
      </c>
      <c r="B30" s="11" t="s">
        <v>211</v>
      </c>
      <c r="C30" s="12" t="str">
        <f>"大阿蘇病院"</f>
        <v>大阿蘇病院</v>
      </c>
      <c r="D30" s="12" t="str">
        <f>"869-2612"</f>
        <v>869-2612</v>
      </c>
      <c r="E30" s="12" t="s">
        <v>108</v>
      </c>
      <c r="F30" s="12" t="str">
        <f>"0967222111    "</f>
        <v xml:space="preserve">0967222111    </v>
      </c>
      <c r="G30" s="12" t="str">
        <f>"医療法人社団　大徳会"</f>
        <v>医療法人社団　大徳会</v>
      </c>
      <c r="H30" s="12" t="str">
        <f>"S57.04.01"</f>
        <v>S57.04.01</v>
      </c>
      <c r="I30" s="12" t="str">
        <f>"開設中"</f>
        <v>開設中</v>
      </c>
      <c r="J30" s="12">
        <v>97</v>
      </c>
      <c r="K30" s="12">
        <v>0</v>
      </c>
      <c r="L30" s="12">
        <v>97</v>
      </c>
      <c r="M30" s="12">
        <v>0</v>
      </c>
      <c r="N30" s="12">
        <v>0</v>
      </c>
      <c r="O30" s="12">
        <v>0</v>
      </c>
      <c r="P30" s="13" t="s">
        <v>208</v>
      </c>
      <c r="Q30" s="13"/>
      <c r="R30" s="13"/>
      <c r="S30" s="13"/>
      <c r="T30" s="13"/>
      <c r="U30" s="13"/>
      <c r="V30" s="13"/>
      <c r="W30" s="13" t="s">
        <v>208</v>
      </c>
      <c r="X30" s="13" t="s">
        <v>208</v>
      </c>
      <c r="Y30" s="13"/>
      <c r="Z30" s="13" t="s">
        <v>208</v>
      </c>
      <c r="AA30" s="13"/>
      <c r="AB30" s="13"/>
      <c r="AC30" s="13" t="s">
        <v>208</v>
      </c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 t="s">
        <v>208</v>
      </c>
      <c r="AV30" s="13"/>
      <c r="AW30" s="13"/>
      <c r="AX30" s="13"/>
      <c r="AY30" s="13"/>
      <c r="AZ30" s="13"/>
      <c r="BA30" s="13"/>
      <c r="BB30" s="16"/>
    </row>
    <row r="31" spans="1:54" ht="24.75" customHeight="1" x14ac:dyDescent="0.4">
      <c r="A31" s="14">
        <v>27</v>
      </c>
      <c r="B31" s="11" t="s">
        <v>211</v>
      </c>
      <c r="C31" s="12" t="str">
        <f>"小国公立病院"</f>
        <v>小国公立病院</v>
      </c>
      <c r="D31" s="12" t="str">
        <f>"869-2501"</f>
        <v>869-2501</v>
      </c>
      <c r="E31" s="12" t="s">
        <v>109</v>
      </c>
      <c r="F31" s="12" t="str">
        <f>"0967463111    "</f>
        <v xml:space="preserve">0967463111    </v>
      </c>
      <c r="G31" s="12" t="str">
        <f>"小国郷公立病院組合"</f>
        <v>小国郷公立病院組合</v>
      </c>
      <c r="H31" s="12" t="str">
        <f>"S40.12.01"</f>
        <v>S40.12.01</v>
      </c>
      <c r="I31" s="12" t="str">
        <f>"開設中"</f>
        <v>開設中</v>
      </c>
      <c r="J31" s="12">
        <v>73</v>
      </c>
      <c r="K31" s="12">
        <v>73</v>
      </c>
      <c r="L31" s="12">
        <v>0</v>
      </c>
      <c r="M31" s="12">
        <v>0</v>
      </c>
      <c r="N31" s="12">
        <v>0</v>
      </c>
      <c r="O31" s="12">
        <v>0</v>
      </c>
      <c r="P31" s="13" t="s">
        <v>208</v>
      </c>
      <c r="Q31" s="13"/>
      <c r="R31" s="13" t="s">
        <v>208</v>
      </c>
      <c r="S31" s="13"/>
      <c r="T31" s="13"/>
      <c r="U31" s="13"/>
      <c r="V31" s="13"/>
      <c r="W31" s="13" t="s">
        <v>208</v>
      </c>
      <c r="X31" s="13" t="s">
        <v>208</v>
      </c>
      <c r="Y31" s="13"/>
      <c r="Z31" s="13"/>
      <c r="AA31" s="13" t="s">
        <v>208</v>
      </c>
      <c r="AB31" s="13" t="s">
        <v>208</v>
      </c>
      <c r="AC31" s="13" t="s">
        <v>208</v>
      </c>
      <c r="AD31" s="13"/>
      <c r="AE31" s="13"/>
      <c r="AF31" s="13"/>
      <c r="AG31" s="13"/>
      <c r="AH31" s="13"/>
      <c r="AI31" s="13"/>
      <c r="AJ31" s="13"/>
      <c r="AK31" s="13" t="s">
        <v>208</v>
      </c>
      <c r="AL31" s="13"/>
      <c r="AM31" s="13" t="s">
        <v>208</v>
      </c>
      <c r="AN31" s="13" t="s">
        <v>208</v>
      </c>
      <c r="AO31" s="13" t="s">
        <v>208</v>
      </c>
      <c r="AP31" s="13"/>
      <c r="AQ31" s="13"/>
      <c r="AR31" s="13" t="s">
        <v>208</v>
      </c>
      <c r="AS31" s="13" t="s">
        <v>208</v>
      </c>
      <c r="AT31" s="13"/>
      <c r="AU31" s="13"/>
      <c r="AV31" s="13"/>
      <c r="AW31" s="13"/>
      <c r="AX31" s="13"/>
      <c r="AY31" s="13"/>
      <c r="AZ31" s="13"/>
      <c r="BA31" s="13" t="s">
        <v>208</v>
      </c>
      <c r="BB31" s="16"/>
    </row>
    <row r="32" spans="1:54" ht="24.75" customHeight="1" x14ac:dyDescent="0.4">
      <c r="A32" s="14">
        <v>28</v>
      </c>
      <c r="B32" s="11" t="s">
        <v>211</v>
      </c>
      <c r="C32" s="12" t="str">
        <f>"阿蘇医療センター"</f>
        <v>阿蘇医療センター</v>
      </c>
      <c r="D32" s="12" t="str">
        <f>"869-2225"</f>
        <v>869-2225</v>
      </c>
      <c r="E32" s="12" t="s">
        <v>110</v>
      </c>
      <c r="F32" s="12" t="str">
        <f>"0967340311    "</f>
        <v xml:space="preserve">0967340311    </v>
      </c>
      <c r="G32" s="12" t="str">
        <f>"阿蘇市"</f>
        <v>阿蘇市</v>
      </c>
      <c r="H32" s="12" t="str">
        <f>"H26.08.04"</f>
        <v>H26.08.04</v>
      </c>
      <c r="I32" s="12" t="str">
        <f>"開設中"</f>
        <v>開設中</v>
      </c>
      <c r="J32" s="12">
        <v>124</v>
      </c>
      <c r="K32" s="12">
        <v>120</v>
      </c>
      <c r="L32" s="12">
        <v>0</v>
      </c>
      <c r="M32" s="12">
        <v>0</v>
      </c>
      <c r="N32" s="12">
        <v>0</v>
      </c>
      <c r="O32" s="12">
        <v>4</v>
      </c>
      <c r="P32" s="13" t="s">
        <v>208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 t="s">
        <v>208</v>
      </c>
      <c r="AB32" s="13"/>
      <c r="AC32" s="13" t="s">
        <v>208</v>
      </c>
      <c r="AD32" s="13"/>
      <c r="AE32" s="13"/>
      <c r="AF32" s="13" t="s">
        <v>208</v>
      </c>
      <c r="AG32" s="13"/>
      <c r="AH32" s="13"/>
      <c r="AI32" s="13"/>
      <c r="AJ32" s="13"/>
      <c r="AK32" s="13"/>
      <c r="AL32" s="13"/>
      <c r="AM32" s="13" t="s">
        <v>208</v>
      </c>
      <c r="AN32" s="13" t="s">
        <v>208</v>
      </c>
      <c r="AO32" s="13"/>
      <c r="AP32" s="13"/>
      <c r="AQ32" s="13" t="s">
        <v>208</v>
      </c>
      <c r="AR32" s="13"/>
      <c r="AS32" s="13" t="s">
        <v>208</v>
      </c>
      <c r="AT32" s="13"/>
      <c r="AU32" s="13" t="s">
        <v>208</v>
      </c>
      <c r="AV32" s="13" t="s">
        <v>208</v>
      </c>
      <c r="AW32" s="13"/>
      <c r="AX32" s="13"/>
      <c r="AY32" s="13"/>
      <c r="AZ32" s="13" t="s">
        <v>208</v>
      </c>
      <c r="BA32" s="13"/>
      <c r="BB32" s="16" t="s">
        <v>50</v>
      </c>
    </row>
    <row r="33" spans="1:54" ht="24.75" customHeight="1" x14ac:dyDescent="0.4">
      <c r="A33" s="14">
        <v>29</v>
      </c>
      <c r="B33" s="13" t="str">
        <f t="shared" ref="B33:B44" si="4">"御船"</f>
        <v>御船</v>
      </c>
      <c r="C33" s="12" t="str">
        <f>"リハビリテーションセンター　熊本回生会病院"</f>
        <v>リハビリテーションセンター　熊本回生会病院</v>
      </c>
      <c r="D33" s="12" t="str">
        <f>"861-3101"</f>
        <v>861-3101</v>
      </c>
      <c r="E33" s="12" t="s">
        <v>111</v>
      </c>
      <c r="F33" s="12" t="str">
        <f>"0962371133    "</f>
        <v xml:space="preserve">0962371133    </v>
      </c>
      <c r="G33" s="12" t="str">
        <f>"医療法人　回生会"</f>
        <v>医療法人　回生会</v>
      </c>
      <c r="H33" s="12" t="str">
        <f>"S53.03.31"</f>
        <v>S53.03.31</v>
      </c>
      <c r="I33" s="12" t="str">
        <f>"開設中"</f>
        <v>開設中</v>
      </c>
      <c r="J33" s="12">
        <v>161</v>
      </c>
      <c r="K33" s="12">
        <v>110</v>
      </c>
      <c r="L33" s="12">
        <v>51</v>
      </c>
      <c r="M33" s="12">
        <v>0</v>
      </c>
      <c r="N33" s="12">
        <v>0</v>
      </c>
      <c r="O33" s="12">
        <v>0</v>
      </c>
      <c r="P33" s="13" t="s">
        <v>208</v>
      </c>
      <c r="Q33" s="13"/>
      <c r="R33" s="13"/>
      <c r="S33" s="13"/>
      <c r="T33" s="13"/>
      <c r="U33" s="13"/>
      <c r="V33" s="13"/>
      <c r="W33" s="13"/>
      <c r="X33" s="13"/>
      <c r="Y33" s="13"/>
      <c r="Z33" s="13" t="s">
        <v>208</v>
      </c>
      <c r="AA33" s="13"/>
      <c r="AB33" s="13" t="s">
        <v>208</v>
      </c>
      <c r="AC33" s="13" t="s">
        <v>208</v>
      </c>
      <c r="AD33" s="13"/>
      <c r="AE33" s="13"/>
      <c r="AF33" s="13" t="s">
        <v>208</v>
      </c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 t="s">
        <v>208</v>
      </c>
      <c r="AV33" s="13" t="s">
        <v>208</v>
      </c>
      <c r="AW33" s="13" t="s">
        <v>208</v>
      </c>
      <c r="AX33" s="13"/>
      <c r="AY33" s="13"/>
      <c r="AZ33" s="13" t="s">
        <v>208</v>
      </c>
      <c r="BA33" s="13" t="s">
        <v>208</v>
      </c>
      <c r="BB33" s="16" t="s">
        <v>51</v>
      </c>
    </row>
    <row r="34" spans="1:54" ht="24.75" customHeight="1" x14ac:dyDescent="0.4">
      <c r="A34" s="14">
        <v>30</v>
      </c>
      <c r="B34" s="13" t="str">
        <f t="shared" si="4"/>
        <v>御船</v>
      </c>
      <c r="C34" s="12" t="str">
        <f>"東熊本病院"</f>
        <v>東熊本病院</v>
      </c>
      <c r="D34" s="12" t="str">
        <f>"861-2233"</f>
        <v>861-2233</v>
      </c>
      <c r="E34" s="12" t="s">
        <v>112</v>
      </c>
      <c r="F34" s="12" t="str">
        <f>"0962862525    "</f>
        <v xml:space="preserve">0962862525    </v>
      </c>
      <c r="G34" s="12" t="str">
        <f>"医療法人　永田会"</f>
        <v>医療法人　永田会</v>
      </c>
      <c r="H34" s="12" t="str">
        <f>"S58.07.30"</f>
        <v>S58.07.30</v>
      </c>
      <c r="I34" s="12" t="str">
        <f>"休止中"</f>
        <v>休止中</v>
      </c>
      <c r="J34" s="12">
        <v>52</v>
      </c>
      <c r="K34" s="12">
        <v>52</v>
      </c>
      <c r="L34" s="12">
        <v>0</v>
      </c>
      <c r="M34" s="12">
        <v>0</v>
      </c>
      <c r="N34" s="12">
        <v>0</v>
      </c>
      <c r="O34" s="12">
        <v>0</v>
      </c>
      <c r="P34" s="13" t="s">
        <v>208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 t="s">
        <v>208</v>
      </c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 t="s">
        <v>208</v>
      </c>
      <c r="AN34" s="13"/>
      <c r="AO34" s="13"/>
      <c r="AP34" s="13"/>
      <c r="AQ34" s="13"/>
      <c r="AR34" s="13"/>
      <c r="AS34" s="13"/>
      <c r="AT34" s="13"/>
      <c r="AU34" s="13" t="s">
        <v>208</v>
      </c>
      <c r="AV34" s="13" t="s">
        <v>208</v>
      </c>
      <c r="AW34" s="13"/>
      <c r="AX34" s="13"/>
      <c r="AY34" s="13"/>
      <c r="AZ34" s="13"/>
      <c r="BA34" s="13"/>
      <c r="BB34" s="16" t="s">
        <v>52</v>
      </c>
    </row>
    <row r="35" spans="1:54" ht="24.75" customHeight="1" x14ac:dyDescent="0.4">
      <c r="A35" s="14">
        <v>31</v>
      </c>
      <c r="B35" s="13" t="str">
        <f t="shared" si="4"/>
        <v>御船</v>
      </c>
      <c r="C35" s="12" t="str">
        <f>"益城中央病院"</f>
        <v>益城中央病院</v>
      </c>
      <c r="D35" s="12" t="str">
        <f>"861-2241"</f>
        <v>861-2241</v>
      </c>
      <c r="E35" s="12" t="s">
        <v>113</v>
      </c>
      <c r="F35" s="12" t="str">
        <f>"0962863151    "</f>
        <v xml:space="preserve">0962863151    </v>
      </c>
      <c r="G35" s="12" t="str">
        <f>"医療法人　宮本会"</f>
        <v>医療法人　宮本会</v>
      </c>
      <c r="H35" s="12" t="str">
        <f>"S45.04.30"</f>
        <v>S45.04.30</v>
      </c>
      <c r="I35" s="12" t="str">
        <f t="shared" ref="I35:I40" si="5">"開設中"</f>
        <v>開設中</v>
      </c>
      <c r="J35" s="12">
        <v>30</v>
      </c>
      <c r="K35" s="12">
        <v>0</v>
      </c>
      <c r="L35" s="12">
        <v>30</v>
      </c>
      <c r="M35" s="12">
        <v>0</v>
      </c>
      <c r="N35" s="12">
        <v>0</v>
      </c>
      <c r="O35" s="12">
        <v>0</v>
      </c>
      <c r="P35" s="13" t="s">
        <v>208</v>
      </c>
      <c r="Q35" s="13"/>
      <c r="R35" s="13"/>
      <c r="S35" s="13"/>
      <c r="T35" s="13"/>
      <c r="U35" s="13" t="s">
        <v>208</v>
      </c>
      <c r="V35" s="13" t="s">
        <v>208</v>
      </c>
      <c r="W35" s="13" t="s">
        <v>208</v>
      </c>
      <c r="X35" s="13" t="s">
        <v>208</v>
      </c>
      <c r="Y35" s="13"/>
      <c r="Z35" s="13"/>
      <c r="AA35" s="13" t="s">
        <v>208</v>
      </c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 t="s">
        <v>208</v>
      </c>
      <c r="AW35" s="13"/>
      <c r="AX35" s="13"/>
      <c r="AY35" s="13"/>
      <c r="AZ35" s="13"/>
      <c r="BA35" s="13"/>
      <c r="BB35" s="16" t="s">
        <v>53</v>
      </c>
    </row>
    <row r="36" spans="1:54" ht="24.75" customHeight="1" x14ac:dyDescent="0.4">
      <c r="A36" s="14">
        <v>32</v>
      </c>
      <c r="B36" s="13" t="str">
        <f t="shared" si="4"/>
        <v>御船</v>
      </c>
      <c r="C36" s="12" t="str">
        <f>"さくら病院"</f>
        <v>さくら病院</v>
      </c>
      <c r="D36" s="12" t="str">
        <f>"861-2236"</f>
        <v>861-2236</v>
      </c>
      <c r="E36" s="12" t="s">
        <v>114</v>
      </c>
      <c r="F36" s="12" t="str">
        <f>"0962868111    "</f>
        <v xml:space="preserve">0962868111    </v>
      </c>
      <c r="G36" s="12" t="str">
        <f>"医療法人社団　広崎会"</f>
        <v>医療法人社団　広崎会</v>
      </c>
      <c r="H36" s="12" t="str">
        <f>"S59.04.01"</f>
        <v>S59.04.01</v>
      </c>
      <c r="I36" s="12" t="str">
        <f t="shared" si="5"/>
        <v>開設中</v>
      </c>
      <c r="J36" s="12">
        <v>164</v>
      </c>
      <c r="K36" s="12">
        <v>0</v>
      </c>
      <c r="L36" s="12">
        <v>164</v>
      </c>
      <c r="M36" s="12">
        <v>0</v>
      </c>
      <c r="N36" s="12">
        <v>0</v>
      </c>
      <c r="O36" s="12">
        <v>0</v>
      </c>
      <c r="P36" s="13" t="s">
        <v>208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 t="s">
        <v>208</v>
      </c>
      <c r="AV36" s="13" t="s">
        <v>208</v>
      </c>
      <c r="AW36" s="13"/>
      <c r="AX36" s="13"/>
      <c r="AY36" s="13"/>
      <c r="AZ36" s="13"/>
      <c r="BA36" s="13"/>
      <c r="BB36" s="16" t="s">
        <v>54</v>
      </c>
    </row>
    <row r="37" spans="1:54" ht="24.75" customHeight="1" x14ac:dyDescent="0.4">
      <c r="A37" s="14">
        <v>33</v>
      </c>
      <c r="B37" s="13" t="str">
        <f t="shared" si="4"/>
        <v>御船</v>
      </c>
      <c r="C37" s="12" t="str">
        <f>"荒瀬病院"</f>
        <v>荒瀬病院</v>
      </c>
      <c r="D37" s="12" t="str">
        <f>"861-4602"</f>
        <v>861-4602</v>
      </c>
      <c r="E37" s="12" t="s">
        <v>115</v>
      </c>
      <c r="F37" s="12" t="str">
        <f>"0962341161    "</f>
        <v xml:space="preserve">0962341161    </v>
      </c>
      <c r="G37" s="12" t="str">
        <f>"医療法人　荒瀬会"</f>
        <v>医療法人　荒瀬会</v>
      </c>
      <c r="H37" s="12" t="str">
        <f>"S30.08.01"</f>
        <v>S30.08.01</v>
      </c>
      <c r="I37" s="12" t="str">
        <f t="shared" si="5"/>
        <v>開設中</v>
      </c>
      <c r="J37" s="12">
        <v>25</v>
      </c>
      <c r="K37" s="12">
        <v>0</v>
      </c>
      <c r="L37" s="12">
        <v>25</v>
      </c>
      <c r="M37" s="12">
        <v>0</v>
      </c>
      <c r="N37" s="12">
        <v>0</v>
      </c>
      <c r="O37" s="12">
        <v>0</v>
      </c>
      <c r="P37" s="13" t="s">
        <v>208</v>
      </c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 t="s">
        <v>208</v>
      </c>
      <c r="AC37" s="13" t="s">
        <v>208</v>
      </c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 t="s">
        <v>208</v>
      </c>
      <c r="AV37" s="13"/>
      <c r="AW37" s="13"/>
      <c r="AX37" s="13"/>
      <c r="AY37" s="13"/>
      <c r="AZ37" s="13"/>
      <c r="BA37" s="13"/>
      <c r="BB37" s="16" t="s">
        <v>55</v>
      </c>
    </row>
    <row r="38" spans="1:54" ht="24.75" customHeight="1" x14ac:dyDescent="0.4">
      <c r="A38" s="14">
        <v>34</v>
      </c>
      <c r="B38" s="13" t="str">
        <f t="shared" si="4"/>
        <v>御船</v>
      </c>
      <c r="C38" s="12" t="str">
        <f>"谷田病院"</f>
        <v>谷田病院</v>
      </c>
      <c r="D38" s="12" t="str">
        <f>"861-4601"</f>
        <v>861-4601</v>
      </c>
      <c r="E38" s="12" t="s">
        <v>116</v>
      </c>
      <c r="F38" s="12" t="str">
        <f>"0962341248    "</f>
        <v xml:space="preserve">0962341248    </v>
      </c>
      <c r="G38" s="12" t="str">
        <f>"医療法人　谷田会"</f>
        <v>医療法人　谷田会</v>
      </c>
      <c r="H38" s="12" t="str">
        <f>"S28.06.01"</f>
        <v>S28.06.01</v>
      </c>
      <c r="I38" s="12" t="str">
        <f t="shared" si="5"/>
        <v>開設中</v>
      </c>
      <c r="J38" s="12">
        <v>85</v>
      </c>
      <c r="K38" s="12">
        <v>39</v>
      </c>
      <c r="L38" s="12">
        <v>46</v>
      </c>
      <c r="M38" s="12">
        <v>0</v>
      </c>
      <c r="N38" s="12">
        <v>0</v>
      </c>
      <c r="O38" s="12">
        <v>0</v>
      </c>
      <c r="P38" s="13" t="s">
        <v>208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 t="s">
        <v>208</v>
      </c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 t="s">
        <v>208</v>
      </c>
      <c r="AV38" s="13"/>
      <c r="AW38" s="13"/>
      <c r="AX38" s="13"/>
      <c r="AY38" s="13"/>
      <c r="AZ38" s="13"/>
      <c r="BA38" s="13"/>
      <c r="BB38" s="16" t="s">
        <v>56</v>
      </c>
    </row>
    <row r="39" spans="1:54" ht="24.75" customHeight="1" x14ac:dyDescent="0.4">
      <c r="A39" s="14">
        <v>35</v>
      </c>
      <c r="B39" s="13" t="str">
        <f t="shared" si="4"/>
        <v>御船</v>
      </c>
      <c r="C39" s="12" t="str">
        <f>"瀬戸病院"</f>
        <v>瀬戸病院</v>
      </c>
      <c r="D39" s="12" t="str">
        <f>"861-3455"</f>
        <v>861-3455</v>
      </c>
      <c r="E39" s="12" t="s">
        <v>117</v>
      </c>
      <c r="F39" s="12" t="str">
        <f>"0967750111    "</f>
        <v xml:space="preserve">0967750111    </v>
      </c>
      <c r="G39" s="12" t="str">
        <f>"医療法人　幸翔会"</f>
        <v>医療法人　幸翔会</v>
      </c>
      <c r="H39" s="12" t="str">
        <f>"S48.01.04"</f>
        <v>S48.01.04</v>
      </c>
      <c r="I39" s="12" t="str">
        <f t="shared" si="5"/>
        <v>開設中</v>
      </c>
      <c r="J39" s="12">
        <v>36</v>
      </c>
      <c r="K39" s="12">
        <v>0</v>
      </c>
      <c r="L39" s="12">
        <v>36</v>
      </c>
      <c r="M39" s="12">
        <v>0</v>
      </c>
      <c r="N39" s="12">
        <v>0</v>
      </c>
      <c r="O39" s="12">
        <v>0</v>
      </c>
      <c r="P39" s="13" t="s">
        <v>208</v>
      </c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 t="s">
        <v>208</v>
      </c>
      <c r="AO39" s="13"/>
      <c r="AP39" s="13"/>
      <c r="AQ39" s="13"/>
      <c r="AR39" s="13" t="s">
        <v>208</v>
      </c>
      <c r="AS39" s="13"/>
      <c r="AT39" s="13"/>
      <c r="AU39" s="13" t="s">
        <v>208</v>
      </c>
      <c r="AV39" s="13"/>
      <c r="AW39" s="13"/>
      <c r="AX39" s="13"/>
      <c r="AY39" s="13"/>
      <c r="AZ39" s="13"/>
      <c r="BA39" s="13"/>
      <c r="BB39" s="16"/>
    </row>
    <row r="40" spans="1:54" ht="24.75" customHeight="1" x14ac:dyDescent="0.4">
      <c r="A40" s="14">
        <v>36</v>
      </c>
      <c r="B40" s="13" t="str">
        <f t="shared" si="4"/>
        <v>御船</v>
      </c>
      <c r="C40" s="12" t="str">
        <f>"矢部広域病院"</f>
        <v>矢部広域病院</v>
      </c>
      <c r="D40" s="12" t="str">
        <f>"861-3512"</f>
        <v>861-3512</v>
      </c>
      <c r="E40" s="12" t="s">
        <v>118</v>
      </c>
      <c r="F40" s="12" t="str">
        <f>"0967721121    "</f>
        <v xml:space="preserve">0967721121    </v>
      </c>
      <c r="G40" s="12" t="str">
        <f>"医療法人　杏章会"</f>
        <v>医療法人　杏章会</v>
      </c>
      <c r="H40" s="12" t="str">
        <f>"S26.04.01"</f>
        <v>S26.04.01</v>
      </c>
      <c r="I40" s="12" t="str">
        <f t="shared" si="5"/>
        <v>開設中</v>
      </c>
      <c r="J40" s="12">
        <v>85</v>
      </c>
      <c r="K40" s="12">
        <v>60</v>
      </c>
      <c r="L40" s="12">
        <v>25</v>
      </c>
      <c r="M40" s="12">
        <v>0</v>
      </c>
      <c r="N40" s="12">
        <v>0</v>
      </c>
      <c r="O40" s="12">
        <v>0</v>
      </c>
      <c r="P40" s="13" t="s">
        <v>208</v>
      </c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 t="s">
        <v>208</v>
      </c>
      <c r="AC40" s="13" t="s">
        <v>208</v>
      </c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 t="s">
        <v>208</v>
      </c>
      <c r="BB40" s="16" t="s">
        <v>57</v>
      </c>
    </row>
    <row r="41" spans="1:54" ht="24.75" customHeight="1" x14ac:dyDescent="0.4">
      <c r="A41" s="14">
        <v>37</v>
      </c>
      <c r="B41" s="13" t="str">
        <f t="shared" si="4"/>
        <v>御船</v>
      </c>
      <c r="C41" s="12" t="str">
        <f>"希望ケ丘病院"</f>
        <v>希望ケ丘病院</v>
      </c>
      <c r="D41" s="12" t="str">
        <f>"861-3131"</f>
        <v>861-3131</v>
      </c>
      <c r="E41" s="12" t="s">
        <v>119</v>
      </c>
      <c r="F41" s="12" t="str">
        <f>"0962821045    "</f>
        <v xml:space="preserve">0962821045    </v>
      </c>
      <c r="G41" s="12" t="str">
        <f>"医療法人社団　松本会"</f>
        <v>医療法人社団　松本会</v>
      </c>
      <c r="H41" s="12" t="str">
        <f>"S38.11.25"</f>
        <v>S38.11.25</v>
      </c>
      <c r="I41" s="12" t="str">
        <f t="shared" ref="I41:I56" si="6">"開設中"</f>
        <v>開設中</v>
      </c>
      <c r="J41" s="12">
        <v>162</v>
      </c>
      <c r="K41" s="12">
        <v>0</v>
      </c>
      <c r="L41" s="12">
        <v>0</v>
      </c>
      <c r="M41" s="12">
        <v>162</v>
      </c>
      <c r="N41" s="12">
        <v>0</v>
      </c>
      <c r="O41" s="12">
        <v>0</v>
      </c>
      <c r="P41" s="13"/>
      <c r="Q41" s="13" t="s">
        <v>208</v>
      </c>
      <c r="R41" s="13" t="s">
        <v>208</v>
      </c>
      <c r="S41" s="13"/>
      <c r="T41" s="13" t="s">
        <v>208</v>
      </c>
      <c r="U41" s="13"/>
      <c r="V41" s="13"/>
      <c r="W41" s="13"/>
      <c r="X41" s="13"/>
      <c r="Y41" s="13"/>
      <c r="Z41" s="13"/>
      <c r="AA41" s="13" t="s">
        <v>208</v>
      </c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6" t="s">
        <v>58</v>
      </c>
    </row>
    <row r="42" spans="1:54" ht="24.75" customHeight="1" x14ac:dyDescent="0.4">
      <c r="A42" s="14">
        <v>38</v>
      </c>
      <c r="B42" s="13" t="str">
        <f t="shared" si="4"/>
        <v>御船</v>
      </c>
      <c r="C42" s="12" t="str">
        <f>"山都町包括医療センターそよう病院"</f>
        <v>山都町包括医療センターそよう病院</v>
      </c>
      <c r="D42" s="12" t="str">
        <f>"861-3902"</f>
        <v>861-3902</v>
      </c>
      <c r="E42" s="12" t="s">
        <v>120</v>
      </c>
      <c r="F42" s="12" t="str">
        <f>"0967831122    "</f>
        <v xml:space="preserve">0967831122    </v>
      </c>
      <c r="G42" s="12" t="str">
        <f>"山都町"</f>
        <v>山都町</v>
      </c>
      <c r="H42" s="12" t="str">
        <f>"H24.11.12"</f>
        <v>H24.11.12</v>
      </c>
      <c r="I42" s="12" t="str">
        <f t="shared" si="6"/>
        <v>開設中</v>
      </c>
      <c r="J42" s="12">
        <v>57</v>
      </c>
      <c r="K42" s="12">
        <v>57</v>
      </c>
      <c r="L42" s="12">
        <v>0</v>
      </c>
      <c r="M42" s="12">
        <v>0</v>
      </c>
      <c r="N42" s="12">
        <v>0</v>
      </c>
      <c r="O42" s="12">
        <v>0</v>
      </c>
      <c r="P42" s="13" t="s">
        <v>208</v>
      </c>
      <c r="Q42" s="13" t="s">
        <v>208</v>
      </c>
      <c r="R42" s="13" t="s">
        <v>208</v>
      </c>
      <c r="S42" s="13"/>
      <c r="T42" s="13"/>
      <c r="U42" s="13" t="s">
        <v>208</v>
      </c>
      <c r="V42" s="13"/>
      <c r="W42" s="13"/>
      <c r="X42" s="13" t="s">
        <v>208</v>
      </c>
      <c r="Y42" s="13"/>
      <c r="Z42" s="13"/>
      <c r="AA42" s="13" t="s">
        <v>208</v>
      </c>
      <c r="AB42" s="13" t="s">
        <v>208</v>
      </c>
      <c r="AC42" s="13" t="s">
        <v>208</v>
      </c>
      <c r="AD42" s="13"/>
      <c r="AE42" s="13"/>
      <c r="AF42" s="13"/>
      <c r="AG42" s="13"/>
      <c r="AH42" s="13"/>
      <c r="AI42" s="13" t="s">
        <v>208</v>
      </c>
      <c r="AJ42" s="13"/>
      <c r="AK42" s="13"/>
      <c r="AL42" s="13"/>
      <c r="AM42" s="13"/>
      <c r="AN42" s="13"/>
      <c r="AO42" s="13"/>
      <c r="AP42" s="13"/>
      <c r="AQ42" s="13"/>
      <c r="AR42" s="13" t="s">
        <v>208</v>
      </c>
      <c r="AS42" s="13"/>
      <c r="AT42" s="13"/>
      <c r="AU42" s="13" t="s">
        <v>208</v>
      </c>
      <c r="AV42" s="13"/>
      <c r="AW42" s="13" t="s">
        <v>208</v>
      </c>
      <c r="AX42" s="13"/>
      <c r="AY42" s="13"/>
      <c r="AZ42" s="13" t="s">
        <v>208</v>
      </c>
      <c r="BA42" s="13"/>
      <c r="BB42" s="16" t="s">
        <v>48</v>
      </c>
    </row>
    <row r="43" spans="1:54" ht="24.75" customHeight="1" x14ac:dyDescent="0.4">
      <c r="A43" s="14">
        <v>39</v>
      </c>
      <c r="B43" s="13" t="str">
        <f t="shared" si="4"/>
        <v>御船</v>
      </c>
      <c r="C43" s="12" t="str">
        <f>"西村病院"</f>
        <v>西村病院</v>
      </c>
      <c r="D43" s="12" t="str">
        <f>"861-3104"</f>
        <v>861-3104</v>
      </c>
      <c r="E43" s="12" t="s">
        <v>121</v>
      </c>
      <c r="F43" s="12" t="str">
        <f>"0962371551    "</f>
        <v xml:space="preserve">0962371551    </v>
      </c>
      <c r="G43" s="12" t="str">
        <f>"医療法人社団　栄康会"</f>
        <v>医療法人社団　栄康会</v>
      </c>
      <c r="H43" s="12" t="str">
        <f>"H30.05.01"</f>
        <v>H30.05.01</v>
      </c>
      <c r="I43" s="12" t="str">
        <f t="shared" si="6"/>
        <v>開設中</v>
      </c>
      <c r="J43" s="12">
        <v>42</v>
      </c>
      <c r="K43" s="12">
        <v>0</v>
      </c>
      <c r="L43" s="12">
        <v>42</v>
      </c>
      <c r="M43" s="12">
        <v>0</v>
      </c>
      <c r="N43" s="12">
        <v>0</v>
      </c>
      <c r="O43" s="12">
        <v>0</v>
      </c>
      <c r="P43" s="13" t="s">
        <v>208</v>
      </c>
      <c r="Q43" s="13"/>
      <c r="R43" s="13"/>
      <c r="S43" s="13"/>
      <c r="T43" s="13" t="s">
        <v>208</v>
      </c>
      <c r="U43" s="13"/>
      <c r="V43" s="13"/>
      <c r="W43" s="13" t="s">
        <v>208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 t="s">
        <v>208</v>
      </c>
      <c r="AV43" s="13"/>
      <c r="AW43" s="13"/>
      <c r="AX43" s="13"/>
      <c r="AY43" s="13"/>
      <c r="AZ43" s="13"/>
      <c r="BA43" s="13"/>
      <c r="BB43" s="16"/>
    </row>
    <row r="44" spans="1:54" ht="24.75" customHeight="1" x14ac:dyDescent="0.4">
      <c r="A44" s="14">
        <v>40</v>
      </c>
      <c r="B44" s="13" t="str">
        <f t="shared" si="4"/>
        <v>御船</v>
      </c>
      <c r="C44" s="12" t="str">
        <f>"益城病院"</f>
        <v>益城病院</v>
      </c>
      <c r="D44" s="12" t="str">
        <f>"861-2232"</f>
        <v>861-2232</v>
      </c>
      <c r="E44" s="12" t="s">
        <v>122</v>
      </c>
      <c r="F44" s="12" t="str">
        <f>"0962863611    "</f>
        <v xml:space="preserve">0962863611    </v>
      </c>
      <c r="G44" s="12" t="str">
        <f>"社会医療法人ましき会"</f>
        <v>社会医療法人ましき会</v>
      </c>
      <c r="H44" s="12" t="str">
        <f>"R01.05.01"</f>
        <v>R01.05.01</v>
      </c>
      <c r="I44" s="12" t="str">
        <f t="shared" si="6"/>
        <v>開設中</v>
      </c>
      <c r="J44" s="12">
        <v>210</v>
      </c>
      <c r="K44" s="12">
        <v>0</v>
      </c>
      <c r="L44" s="12">
        <v>0</v>
      </c>
      <c r="M44" s="12">
        <v>210</v>
      </c>
      <c r="N44" s="12">
        <v>0</v>
      </c>
      <c r="O44" s="12">
        <v>0</v>
      </c>
      <c r="P44" s="13"/>
      <c r="Q44" s="13" t="s">
        <v>208</v>
      </c>
      <c r="R44" s="13" t="s">
        <v>208</v>
      </c>
      <c r="S44" s="13"/>
      <c r="T44" s="13"/>
      <c r="U44" s="13"/>
      <c r="V44" s="13"/>
      <c r="W44" s="13"/>
      <c r="X44" s="13"/>
      <c r="Y44" s="13"/>
      <c r="Z44" s="13"/>
      <c r="AA44" s="13" t="s">
        <v>208</v>
      </c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 t="s">
        <v>208</v>
      </c>
      <c r="AX44" s="13"/>
      <c r="AY44" s="13"/>
      <c r="AZ44" s="13"/>
      <c r="BA44" s="13"/>
      <c r="BB44" s="16"/>
    </row>
    <row r="45" spans="1:54" ht="24.75" customHeight="1" x14ac:dyDescent="0.4">
      <c r="A45" s="14">
        <v>41</v>
      </c>
      <c r="B45" s="13" t="str">
        <f t="shared" ref="B45:B55" si="7">"八代"</f>
        <v>八代</v>
      </c>
      <c r="C45" s="12" t="str">
        <f>"独立行政法人労働者健康安全機構　熊本労災病院"</f>
        <v>独立行政法人労働者健康安全機構　熊本労災病院</v>
      </c>
      <c r="D45" s="12" t="str">
        <f>"866-0826"</f>
        <v>866-0826</v>
      </c>
      <c r="E45" s="12" t="s">
        <v>124</v>
      </c>
      <c r="F45" s="12" t="str">
        <f>"0965334151    "</f>
        <v xml:space="preserve">0965334151    </v>
      </c>
      <c r="G45" s="12" t="str">
        <f>"独立行政法人労働者健康安全機構"</f>
        <v>独立行政法人労働者健康安全機構</v>
      </c>
      <c r="H45" s="12" t="str">
        <f>"S32.07.01"</f>
        <v>S32.07.01</v>
      </c>
      <c r="I45" s="12" t="str">
        <f t="shared" si="6"/>
        <v>開設中</v>
      </c>
      <c r="J45" s="12">
        <v>410</v>
      </c>
      <c r="K45" s="12">
        <v>410</v>
      </c>
      <c r="L45" s="12">
        <v>0</v>
      </c>
      <c r="M45" s="12">
        <v>0</v>
      </c>
      <c r="N45" s="12">
        <v>0</v>
      </c>
      <c r="O45" s="12">
        <v>0</v>
      </c>
      <c r="P45" s="13" t="s">
        <v>208</v>
      </c>
      <c r="Q45" s="13"/>
      <c r="R45" s="13" t="s">
        <v>208</v>
      </c>
      <c r="S45" s="13"/>
      <c r="T45" s="13"/>
      <c r="U45" s="13"/>
      <c r="V45" s="13"/>
      <c r="W45" s="13"/>
      <c r="X45" s="13"/>
      <c r="Y45" s="13"/>
      <c r="Z45" s="13"/>
      <c r="AA45" s="13" t="s">
        <v>208</v>
      </c>
      <c r="AB45" s="13" t="s">
        <v>208</v>
      </c>
      <c r="AC45" s="13" t="s">
        <v>208</v>
      </c>
      <c r="AD45" s="13" t="s">
        <v>208</v>
      </c>
      <c r="AE45" s="13"/>
      <c r="AF45" s="13" t="s">
        <v>208</v>
      </c>
      <c r="AG45" s="13" t="s">
        <v>208</v>
      </c>
      <c r="AH45" s="13" t="s">
        <v>208</v>
      </c>
      <c r="AI45" s="13" t="s">
        <v>208</v>
      </c>
      <c r="AJ45" s="13"/>
      <c r="AK45" s="13"/>
      <c r="AL45" s="13"/>
      <c r="AM45" s="13" t="s">
        <v>208</v>
      </c>
      <c r="AN45" s="13" t="s">
        <v>208</v>
      </c>
      <c r="AO45" s="13" t="s">
        <v>208</v>
      </c>
      <c r="AP45" s="13"/>
      <c r="AQ45" s="13"/>
      <c r="AR45" s="13" t="s">
        <v>208</v>
      </c>
      <c r="AS45" s="13" t="s">
        <v>208</v>
      </c>
      <c r="AT45" s="13"/>
      <c r="AU45" s="13" t="s">
        <v>208</v>
      </c>
      <c r="AV45" s="13" t="s">
        <v>208</v>
      </c>
      <c r="AW45" s="13"/>
      <c r="AX45" s="13"/>
      <c r="AY45" s="13"/>
      <c r="AZ45" s="13"/>
      <c r="BA45" s="13" t="s">
        <v>208</v>
      </c>
      <c r="BB45" s="16" t="s">
        <v>59</v>
      </c>
    </row>
    <row r="46" spans="1:54" ht="24.75" customHeight="1" x14ac:dyDescent="0.4">
      <c r="A46" s="14">
        <v>42</v>
      </c>
      <c r="B46" s="13" t="str">
        <f t="shared" si="7"/>
        <v>八代</v>
      </c>
      <c r="C46" s="12" t="str">
        <f>"高田病院"</f>
        <v>高田病院</v>
      </c>
      <c r="D46" s="12" t="str">
        <f>"866-0065"</f>
        <v>866-0065</v>
      </c>
      <c r="E46" s="12" t="s">
        <v>125</v>
      </c>
      <c r="F46" s="12" t="str">
        <f>"0965331191    "</f>
        <v xml:space="preserve">0965331191    </v>
      </c>
      <c r="G46" s="12" t="str">
        <f>"医療法人尚仁会"</f>
        <v>医療法人尚仁会</v>
      </c>
      <c r="H46" s="12" t="str">
        <f>"S29.08.16"</f>
        <v>S29.08.16</v>
      </c>
      <c r="I46" s="12" t="str">
        <f t="shared" si="6"/>
        <v>開設中</v>
      </c>
      <c r="J46" s="12">
        <v>290</v>
      </c>
      <c r="K46" s="12">
        <v>0</v>
      </c>
      <c r="L46" s="12">
        <v>54</v>
      </c>
      <c r="M46" s="12">
        <v>236</v>
      </c>
      <c r="N46" s="12">
        <v>0</v>
      </c>
      <c r="O46" s="12">
        <v>0</v>
      </c>
      <c r="P46" s="13" t="s">
        <v>208</v>
      </c>
      <c r="Q46" s="13"/>
      <c r="R46" s="13" t="s">
        <v>208</v>
      </c>
      <c r="S46" s="13" t="s">
        <v>208</v>
      </c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6"/>
    </row>
    <row r="47" spans="1:54" ht="24.75" customHeight="1" x14ac:dyDescent="0.4">
      <c r="A47" s="14">
        <v>43</v>
      </c>
      <c r="B47" s="13" t="str">
        <f t="shared" si="7"/>
        <v>八代</v>
      </c>
      <c r="C47" s="12" t="str">
        <f>"平成病院"</f>
        <v>平成病院</v>
      </c>
      <c r="D47" s="12" t="str">
        <f>"866-0895"</f>
        <v>866-0895</v>
      </c>
      <c r="E47" s="12" t="s">
        <v>126</v>
      </c>
      <c r="F47" s="12" t="str">
        <f>"0965328171    "</f>
        <v xml:space="preserve">0965328171    </v>
      </c>
      <c r="G47" s="12" t="str">
        <f>"医療法人社団　平成会"</f>
        <v>医療法人社団　平成会</v>
      </c>
      <c r="H47" s="12" t="str">
        <f>"S39.02.01"</f>
        <v>S39.02.01</v>
      </c>
      <c r="I47" s="12" t="str">
        <f t="shared" si="6"/>
        <v>開設中</v>
      </c>
      <c r="J47" s="12">
        <v>141</v>
      </c>
      <c r="K47" s="12">
        <v>0</v>
      </c>
      <c r="L47" s="12">
        <v>0</v>
      </c>
      <c r="M47" s="12">
        <v>141</v>
      </c>
      <c r="N47" s="12">
        <v>0</v>
      </c>
      <c r="O47" s="12">
        <v>0</v>
      </c>
      <c r="P47" s="13" t="s">
        <v>208</v>
      </c>
      <c r="Q47" s="13" t="s">
        <v>208</v>
      </c>
      <c r="R47" s="13" t="s">
        <v>208</v>
      </c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 t="s">
        <v>208</v>
      </c>
      <c r="AW47" s="13"/>
      <c r="AX47" s="13"/>
      <c r="AY47" s="13"/>
      <c r="AZ47" s="13"/>
      <c r="BA47" s="13"/>
      <c r="BB47" s="16"/>
    </row>
    <row r="48" spans="1:54" ht="24.75" customHeight="1" x14ac:dyDescent="0.4">
      <c r="A48" s="14">
        <v>44</v>
      </c>
      <c r="B48" s="13" t="str">
        <f t="shared" si="7"/>
        <v>八代</v>
      </c>
      <c r="C48" s="12" t="str">
        <f>"八代北部地域医療センター"</f>
        <v>八代北部地域医療センター</v>
      </c>
      <c r="D48" s="12" t="str">
        <f>"869-4601"</f>
        <v>869-4601</v>
      </c>
      <c r="E48" s="12" t="s">
        <v>127</v>
      </c>
      <c r="F48" s="12" t="str">
        <f>"0965535111    "</f>
        <v xml:space="preserve">0965535111    </v>
      </c>
      <c r="G48" s="18" t="str">
        <f>"一般社団法人八代郡市医師会"</f>
        <v>一般社団法人八代郡市医師会</v>
      </c>
      <c r="H48" s="12" t="str">
        <f>"H12.03.27"</f>
        <v>H12.03.27</v>
      </c>
      <c r="I48" s="12" t="str">
        <f t="shared" si="6"/>
        <v>開設中</v>
      </c>
      <c r="J48" s="12">
        <v>89</v>
      </c>
      <c r="K48" s="12">
        <v>59</v>
      </c>
      <c r="L48" s="12">
        <v>30</v>
      </c>
      <c r="M48" s="12">
        <v>0</v>
      </c>
      <c r="N48" s="12">
        <v>0</v>
      </c>
      <c r="O48" s="12">
        <v>0</v>
      </c>
      <c r="P48" s="13" t="s">
        <v>208</v>
      </c>
      <c r="Q48" s="13"/>
      <c r="R48" s="13"/>
      <c r="S48" s="13"/>
      <c r="T48" s="13" t="s">
        <v>208</v>
      </c>
      <c r="U48" s="13" t="s">
        <v>208</v>
      </c>
      <c r="V48" s="13" t="s">
        <v>208</v>
      </c>
      <c r="W48" s="13"/>
      <c r="X48" s="13" t="s">
        <v>208</v>
      </c>
      <c r="Y48" s="13"/>
      <c r="Z48" s="13"/>
      <c r="AA48" s="13" t="s">
        <v>208</v>
      </c>
      <c r="AB48" s="13" t="s">
        <v>208</v>
      </c>
      <c r="AC48" s="13" t="s">
        <v>208</v>
      </c>
      <c r="AD48" s="13"/>
      <c r="AE48" s="13"/>
      <c r="AF48" s="13"/>
      <c r="AG48" s="13"/>
      <c r="AH48" s="13"/>
      <c r="AI48" s="13" t="s">
        <v>208</v>
      </c>
      <c r="AJ48" s="13"/>
      <c r="AK48" s="13" t="s">
        <v>208</v>
      </c>
      <c r="AL48" s="13"/>
      <c r="AM48" s="13"/>
      <c r="AN48" s="13"/>
      <c r="AO48" s="13"/>
      <c r="AP48" s="13"/>
      <c r="AQ48" s="13" t="s">
        <v>215</v>
      </c>
      <c r="AR48" s="13"/>
      <c r="AS48" s="13"/>
      <c r="AT48" s="13"/>
      <c r="AU48" s="13" t="s">
        <v>208</v>
      </c>
      <c r="AV48" s="13"/>
      <c r="AW48" s="13"/>
      <c r="AX48" s="13"/>
      <c r="AY48" s="13"/>
      <c r="AZ48" s="13"/>
      <c r="BA48" s="13"/>
      <c r="BB48" s="16"/>
    </row>
    <row r="49" spans="1:54" ht="24.75" customHeight="1" x14ac:dyDescent="0.4">
      <c r="A49" s="14">
        <v>45</v>
      </c>
      <c r="B49" s="13" t="str">
        <f t="shared" si="7"/>
        <v>八代</v>
      </c>
      <c r="C49" s="12" t="str">
        <f>"八代敬仁病院"</f>
        <v>八代敬仁病院</v>
      </c>
      <c r="D49" s="12" t="str">
        <f>"866-0893"</f>
        <v>866-0893</v>
      </c>
      <c r="E49" s="12" t="s">
        <v>128</v>
      </c>
      <c r="F49" s="12" t="str">
        <f>"0965347911    "</f>
        <v xml:space="preserve">0965347911    </v>
      </c>
      <c r="G49" s="12" t="str">
        <f>"医療法人　敬仁会"</f>
        <v>医療法人　敬仁会</v>
      </c>
      <c r="H49" s="12" t="str">
        <f>"S51.03.16"</f>
        <v>S51.03.16</v>
      </c>
      <c r="I49" s="12" t="str">
        <f t="shared" si="6"/>
        <v>開設中</v>
      </c>
      <c r="J49" s="12">
        <v>171</v>
      </c>
      <c r="K49" s="12">
        <v>42</v>
      </c>
      <c r="L49" s="12">
        <v>129</v>
      </c>
      <c r="M49" s="12">
        <v>0</v>
      </c>
      <c r="N49" s="12">
        <v>0</v>
      </c>
      <c r="O49" s="12">
        <v>0</v>
      </c>
      <c r="P49" s="13" t="s">
        <v>208</v>
      </c>
      <c r="Q49" s="13"/>
      <c r="R49" s="13"/>
      <c r="S49" s="13"/>
      <c r="T49" s="13"/>
      <c r="U49" s="13" t="s">
        <v>208</v>
      </c>
      <c r="V49" s="13" t="s">
        <v>208</v>
      </c>
      <c r="W49" s="13"/>
      <c r="X49" s="13" t="s">
        <v>208</v>
      </c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 t="s">
        <v>208</v>
      </c>
      <c r="AV49" s="13" t="s">
        <v>208</v>
      </c>
      <c r="AW49" s="13"/>
      <c r="AX49" s="13"/>
      <c r="AY49" s="13"/>
      <c r="AZ49" s="13"/>
      <c r="BA49" s="13"/>
      <c r="BB49" s="16"/>
    </row>
    <row r="50" spans="1:54" ht="24.75" customHeight="1" x14ac:dyDescent="0.4">
      <c r="A50" s="14">
        <v>46</v>
      </c>
      <c r="B50" s="13" t="str">
        <f t="shared" si="7"/>
        <v>八代</v>
      </c>
      <c r="C50" s="12" t="str">
        <f>"八代更生病院"</f>
        <v>八代更生病院</v>
      </c>
      <c r="D50" s="12" t="str">
        <f>"866-0043"</f>
        <v>866-0043</v>
      </c>
      <c r="E50" s="12" t="s">
        <v>129</v>
      </c>
      <c r="F50" s="12" t="str">
        <f>"0965334205    "</f>
        <v xml:space="preserve">0965334205    </v>
      </c>
      <c r="G50" s="12" t="str">
        <f>"医療法人山田会"</f>
        <v>医療法人山田会</v>
      </c>
      <c r="H50" s="12" t="str">
        <f>"S40.02.01"</f>
        <v>S40.02.01</v>
      </c>
      <c r="I50" s="12" t="str">
        <f t="shared" si="6"/>
        <v>開設中</v>
      </c>
      <c r="J50" s="12">
        <v>249</v>
      </c>
      <c r="K50" s="12">
        <v>0</v>
      </c>
      <c r="L50" s="12">
        <v>0</v>
      </c>
      <c r="M50" s="12">
        <v>249</v>
      </c>
      <c r="N50" s="12">
        <v>0</v>
      </c>
      <c r="O50" s="12">
        <v>0</v>
      </c>
      <c r="P50" s="13" t="s">
        <v>208</v>
      </c>
      <c r="Q50" s="13" t="s">
        <v>208</v>
      </c>
      <c r="R50" s="13" t="s">
        <v>208</v>
      </c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6"/>
    </row>
    <row r="51" spans="1:54" ht="24.75" customHeight="1" x14ac:dyDescent="0.4">
      <c r="A51" s="14">
        <v>47</v>
      </c>
      <c r="B51" s="13" t="str">
        <f t="shared" si="7"/>
        <v>八代</v>
      </c>
      <c r="C51" s="12" t="str">
        <f>"八代市医師会立病院"</f>
        <v>八代市医師会立病院</v>
      </c>
      <c r="D51" s="12" t="str">
        <f>"866-0074"</f>
        <v>866-0074</v>
      </c>
      <c r="E51" s="12" t="s">
        <v>130</v>
      </c>
      <c r="F51" s="12" t="str">
        <f>"0965311700    "</f>
        <v xml:space="preserve">0965311700    </v>
      </c>
      <c r="G51" s="12" t="str">
        <f>"一般社団法人八代市医師会"</f>
        <v>一般社団法人八代市医師会</v>
      </c>
      <c r="H51" s="12" t="str">
        <f>"H11.04.22"</f>
        <v>H11.04.22</v>
      </c>
      <c r="I51" s="12" t="str">
        <f t="shared" si="6"/>
        <v>開設中</v>
      </c>
      <c r="J51" s="12">
        <v>100</v>
      </c>
      <c r="K51" s="12">
        <v>0</v>
      </c>
      <c r="L51" s="12">
        <v>100</v>
      </c>
      <c r="M51" s="12">
        <v>0</v>
      </c>
      <c r="N51" s="12">
        <v>0</v>
      </c>
      <c r="O51" s="12">
        <v>0</v>
      </c>
      <c r="P51" s="13" t="s">
        <v>208</v>
      </c>
      <c r="Q51" s="13"/>
      <c r="R51" s="13"/>
      <c r="S51" s="13"/>
      <c r="T51" s="13" t="s">
        <v>208</v>
      </c>
      <c r="U51" s="13" t="s">
        <v>208</v>
      </c>
      <c r="V51" s="13"/>
      <c r="W51" s="13"/>
      <c r="X51" s="13" t="s">
        <v>208</v>
      </c>
      <c r="Y51" s="13"/>
      <c r="Z51" s="13"/>
      <c r="AA51" s="13" t="s">
        <v>208</v>
      </c>
      <c r="AB51" s="13" t="s">
        <v>208</v>
      </c>
      <c r="AC51" s="13" t="s">
        <v>208</v>
      </c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 t="s">
        <v>208</v>
      </c>
      <c r="AV51" s="13"/>
      <c r="AW51" s="13"/>
      <c r="AX51" s="13"/>
      <c r="AY51" s="13"/>
      <c r="AZ51" s="13"/>
      <c r="BA51" s="13"/>
      <c r="BB51" s="16"/>
    </row>
    <row r="52" spans="1:54" ht="24.75" customHeight="1" x14ac:dyDescent="0.4">
      <c r="A52" s="14">
        <v>48</v>
      </c>
      <c r="B52" s="13" t="str">
        <f t="shared" si="7"/>
        <v>八代</v>
      </c>
      <c r="C52" s="12" t="str">
        <f>"八代病院シーサイドこころケアステーション"</f>
        <v>八代病院シーサイドこころケアステーション</v>
      </c>
      <c r="D52" s="12" t="str">
        <f>"866-0024"</f>
        <v>866-0024</v>
      </c>
      <c r="E52" s="12" t="s">
        <v>131</v>
      </c>
      <c r="F52" s="12" t="str">
        <f>"0965370317    "</f>
        <v xml:space="preserve">0965370317    </v>
      </c>
      <c r="G52" s="12" t="str">
        <f>"医療法人カジオ会"</f>
        <v>医療法人カジオ会</v>
      </c>
      <c r="H52" s="12" t="str">
        <f>"S34.11.01"</f>
        <v>S34.11.01</v>
      </c>
      <c r="I52" s="12" t="str">
        <f t="shared" si="6"/>
        <v>開設中</v>
      </c>
      <c r="J52" s="12">
        <v>149</v>
      </c>
      <c r="K52" s="12">
        <v>0</v>
      </c>
      <c r="L52" s="12">
        <v>0</v>
      </c>
      <c r="M52" s="12">
        <v>149</v>
      </c>
      <c r="N52" s="12">
        <v>0</v>
      </c>
      <c r="O52" s="12">
        <v>0</v>
      </c>
      <c r="P52" s="13"/>
      <c r="Q52" s="13"/>
      <c r="R52" s="13" t="s">
        <v>208</v>
      </c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6"/>
    </row>
    <row r="53" spans="1:54" ht="24.75" customHeight="1" x14ac:dyDescent="0.4">
      <c r="A53" s="14">
        <v>49</v>
      </c>
      <c r="B53" s="13" t="str">
        <f t="shared" si="7"/>
        <v>八代</v>
      </c>
      <c r="C53" s="12" t="str">
        <f>"独立行政法人地域医療機能推進機構　熊本総合病院"</f>
        <v>独立行政法人地域医療機能推進機構　熊本総合病院</v>
      </c>
      <c r="D53" s="12" t="str">
        <f>"866-0856"</f>
        <v>866-0856</v>
      </c>
      <c r="E53" s="12" t="s">
        <v>132</v>
      </c>
      <c r="F53" s="12" t="str">
        <f>"0965327111    "</f>
        <v xml:space="preserve">0965327111    </v>
      </c>
      <c r="G53" s="12" t="str">
        <f>"独立行政法人　地域医療機能推進機構"</f>
        <v>独立行政法人　地域医療機能推進機構</v>
      </c>
      <c r="H53" s="12" t="str">
        <f>"H25.02.11"</f>
        <v>H25.02.11</v>
      </c>
      <c r="I53" s="12" t="str">
        <f t="shared" si="6"/>
        <v>開設中</v>
      </c>
      <c r="J53" s="12">
        <v>400</v>
      </c>
      <c r="K53" s="12">
        <v>396</v>
      </c>
      <c r="L53" s="12">
        <v>0</v>
      </c>
      <c r="M53" s="12">
        <v>0</v>
      </c>
      <c r="N53" s="12">
        <v>0</v>
      </c>
      <c r="O53" s="12">
        <v>4</v>
      </c>
      <c r="P53" s="13" t="s">
        <v>208</v>
      </c>
      <c r="Q53" s="13"/>
      <c r="R53" s="13"/>
      <c r="S53" s="13"/>
      <c r="T53" s="13" t="s">
        <v>208</v>
      </c>
      <c r="U53" s="13"/>
      <c r="V53" s="13"/>
      <c r="W53" s="13"/>
      <c r="X53" s="13"/>
      <c r="Y53" s="13" t="s">
        <v>208</v>
      </c>
      <c r="Z53" s="13"/>
      <c r="AA53" s="13"/>
      <c r="AB53" s="13" t="s">
        <v>208</v>
      </c>
      <c r="AC53" s="13" t="s">
        <v>208</v>
      </c>
      <c r="AD53" s="13"/>
      <c r="AE53" s="13"/>
      <c r="AF53" s="13" t="s">
        <v>208</v>
      </c>
      <c r="AG53" s="13" t="s">
        <v>208</v>
      </c>
      <c r="AH53" s="13" t="s">
        <v>208</v>
      </c>
      <c r="AI53" s="13"/>
      <c r="AJ53" s="13"/>
      <c r="AK53" s="13"/>
      <c r="AL53" s="13"/>
      <c r="AM53" s="13" t="s">
        <v>208</v>
      </c>
      <c r="AN53" s="13" t="s">
        <v>208</v>
      </c>
      <c r="AO53" s="13" t="s">
        <v>208</v>
      </c>
      <c r="AP53" s="13"/>
      <c r="AQ53" s="13"/>
      <c r="AR53" s="13" t="s">
        <v>208</v>
      </c>
      <c r="AS53" s="13" t="s">
        <v>208</v>
      </c>
      <c r="AT53" s="13"/>
      <c r="AU53" s="13" t="s">
        <v>208</v>
      </c>
      <c r="AV53" s="13" t="s">
        <v>208</v>
      </c>
      <c r="AW53" s="13"/>
      <c r="AX53" s="13"/>
      <c r="AY53" s="13"/>
      <c r="AZ53" s="13"/>
      <c r="BA53" s="13" t="s">
        <v>208</v>
      </c>
      <c r="BB53" s="16" t="s">
        <v>61</v>
      </c>
    </row>
    <row r="54" spans="1:54" ht="24.75" customHeight="1" x14ac:dyDescent="0.4">
      <c r="A54" s="14">
        <v>50</v>
      </c>
      <c r="B54" s="13" t="str">
        <f t="shared" si="7"/>
        <v>八代</v>
      </c>
      <c r="C54" s="12" t="str">
        <f>"桜十字八代リハビリテーション病院"</f>
        <v>桜十字八代リハビリテーション病院</v>
      </c>
      <c r="D54" s="12" t="str">
        <f>"866-0861"</f>
        <v>866-0861</v>
      </c>
      <c r="E54" s="12" t="s">
        <v>133</v>
      </c>
      <c r="F54" s="12" t="str">
        <f>"0965327158    "</f>
        <v xml:space="preserve">0965327158    </v>
      </c>
      <c r="G54" s="12" t="str">
        <f>"医療法人熊本桜十字"</f>
        <v>医療法人熊本桜十字</v>
      </c>
      <c r="H54" s="12" t="str">
        <f>"R02.05.01"</f>
        <v>R02.05.01</v>
      </c>
      <c r="I54" s="12" t="str">
        <f t="shared" si="6"/>
        <v>開設中</v>
      </c>
      <c r="J54" s="12">
        <v>199</v>
      </c>
      <c r="K54" s="12">
        <v>59</v>
      </c>
      <c r="L54" s="12">
        <v>140</v>
      </c>
      <c r="M54" s="12">
        <v>0</v>
      </c>
      <c r="N54" s="12">
        <v>0</v>
      </c>
      <c r="O54" s="12">
        <v>0</v>
      </c>
      <c r="P54" s="13" t="s">
        <v>208</v>
      </c>
      <c r="Q54" s="13"/>
      <c r="R54" s="13"/>
      <c r="S54" s="13"/>
      <c r="T54" s="13"/>
      <c r="U54" s="13"/>
      <c r="V54" s="13"/>
      <c r="W54" s="13"/>
      <c r="X54" s="13"/>
      <c r="Y54" s="13"/>
      <c r="Z54" s="13" t="s">
        <v>208</v>
      </c>
      <c r="AA54" s="13"/>
      <c r="AB54" s="13" t="s">
        <v>208</v>
      </c>
      <c r="AC54" s="13" t="s">
        <v>208</v>
      </c>
      <c r="AD54" s="13"/>
      <c r="AE54" s="13"/>
      <c r="AF54" s="13" t="s">
        <v>208</v>
      </c>
      <c r="AG54" s="13"/>
      <c r="AH54" s="13"/>
      <c r="AI54" s="13"/>
      <c r="AJ54" s="13"/>
      <c r="AK54" s="13"/>
      <c r="AL54" s="13"/>
      <c r="AM54" s="13"/>
      <c r="AN54" s="13" t="s">
        <v>208</v>
      </c>
      <c r="AO54" s="13"/>
      <c r="AP54" s="13"/>
      <c r="AQ54" s="13"/>
      <c r="AR54" s="13"/>
      <c r="AS54" s="13"/>
      <c r="AT54" s="13"/>
      <c r="AU54" s="13" t="s">
        <v>208</v>
      </c>
      <c r="AV54" s="13"/>
      <c r="AW54" s="13"/>
      <c r="AX54" s="13"/>
      <c r="AY54" s="13"/>
      <c r="AZ54" s="13"/>
      <c r="BA54" s="13"/>
      <c r="BB54" s="16" t="s">
        <v>62</v>
      </c>
    </row>
    <row r="55" spans="1:54" ht="24.75" customHeight="1" x14ac:dyDescent="0.4">
      <c r="A55" s="14">
        <v>51</v>
      </c>
      <c r="B55" s="13" t="str">
        <f t="shared" si="7"/>
        <v>八代</v>
      </c>
      <c r="C55" s="12" t="str">
        <f>"桜十字八代病院"</f>
        <v>桜十字八代病院</v>
      </c>
      <c r="D55" s="12" t="str">
        <f>"866-0856"</f>
        <v>866-0856</v>
      </c>
      <c r="E55" s="12" t="s">
        <v>123</v>
      </c>
      <c r="F55" s="12" t="str">
        <f>"0965327158    "</f>
        <v xml:space="preserve">0965327158    </v>
      </c>
      <c r="G55" s="12" t="str">
        <f>"医療法人熊本桜十字"</f>
        <v>医療法人熊本桜十字</v>
      </c>
      <c r="H55" s="12" t="str">
        <f>"R02.12.01"</f>
        <v>R02.12.01</v>
      </c>
      <c r="I55" s="12" t="str">
        <f t="shared" si="6"/>
        <v>開設中</v>
      </c>
      <c r="J55" s="12">
        <v>74</v>
      </c>
      <c r="K55" s="12">
        <v>20</v>
      </c>
      <c r="L55" s="12">
        <v>54</v>
      </c>
      <c r="M55" s="12">
        <v>0</v>
      </c>
      <c r="N55" s="12">
        <v>0</v>
      </c>
      <c r="O55" s="12">
        <v>0</v>
      </c>
      <c r="P55" s="13" t="s">
        <v>208</v>
      </c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 t="s">
        <v>208</v>
      </c>
      <c r="AC55" s="13" t="s">
        <v>208</v>
      </c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 t="s">
        <v>208</v>
      </c>
      <c r="AV55" s="13"/>
      <c r="AW55" s="13"/>
      <c r="AX55" s="13"/>
      <c r="AY55" s="13"/>
      <c r="AZ55" s="13"/>
      <c r="BA55" s="13"/>
      <c r="BB55" s="16" t="s">
        <v>60</v>
      </c>
    </row>
    <row r="56" spans="1:54" ht="24.75" customHeight="1" x14ac:dyDescent="0.4">
      <c r="A56" s="14">
        <v>52</v>
      </c>
      <c r="B56" s="11" t="s">
        <v>212</v>
      </c>
      <c r="C56" s="12" t="str">
        <f>"国保水俣市立総合医療センター"</f>
        <v>国保水俣市立総合医療センター</v>
      </c>
      <c r="D56" s="12" t="str">
        <f>"867-0041"</f>
        <v>867-0041</v>
      </c>
      <c r="E56" s="12" t="s">
        <v>134</v>
      </c>
      <c r="F56" s="12" t="str">
        <f>"0966632101    "</f>
        <v xml:space="preserve">0966632101    </v>
      </c>
      <c r="G56" s="12" t="str">
        <f>"水俣市"</f>
        <v>水俣市</v>
      </c>
      <c r="H56" s="12" t="str">
        <f>"S28.09.01"</f>
        <v>S28.09.01</v>
      </c>
      <c r="I56" s="12" t="str">
        <f t="shared" si="6"/>
        <v>開設中</v>
      </c>
      <c r="J56" s="12">
        <v>361</v>
      </c>
      <c r="K56" s="12">
        <v>357</v>
      </c>
      <c r="L56" s="12">
        <v>0</v>
      </c>
      <c r="M56" s="12">
        <v>0</v>
      </c>
      <c r="N56" s="12">
        <v>0</v>
      </c>
      <c r="O56" s="12">
        <v>4</v>
      </c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 t="s">
        <v>208</v>
      </c>
      <c r="AB56" s="13" t="s">
        <v>208</v>
      </c>
      <c r="AC56" s="13" t="s">
        <v>208</v>
      </c>
      <c r="AD56" s="13"/>
      <c r="AE56" s="13"/>
      <c r="AF56" s="13" t="s">
        <v>208</v>
      </c>
      <c r="AG56" s="13"/>
      <c r="AH56" s="13" t="s">
        <v>208</v>
      </c>
      <c r="AI56" s="13"/>
      <c r="AJ56" s="13"/>
      <c r="AK56" s="13"/>
      <c r="AL56" s="13"/>
      <c r="AM56" s="13" t="s">
        <v>208</v>
      </c>
      <c r="AN56" s="13" t="s">
        <v>208</v>
      </c>
      <c r="AO56" s="13" t="s">
        <v>208</v>
      </c>
      <c r="AP56" s="13"/>
      <c r="AQ56" s="13"/>
      <c r="AR56" s="13" t="s">
        <v>208</v>
      </c>
      <c r="AS56" s="13" t="s">
        <v>208</v>
      </c>
      <c r="AT56" s="13"/>
      <c r="AU56" s="13" t="s">
        <v>208</v>
      </c>
      <c r="AV56" s="13" t="s">
        <v>208</v>
      </c>
      <c r="AW56" s="13"/>
      <c r="AX56" s="13"/>
      <c r="AY56" s="13"/>
      <c r="AZ56" s="13" t="s">
        <v>208</v>
      </c>
      <c r="BA56" s="13" t="s">
        <v>208</v>
      </c>
      <c r="BB56" s="16" t="s">
        <v>63</v>
      </c>
    </row>
    <row r="57" spans="1:54" ht="24.75" customHeight="1" x14ac:dyDescent="0.4">
      <c r="A57" s="14">
        <v>53</v>
      </c>
      <c r="B57" s="11" t="s">
        <v>212</v>
      </c>
      <c r="C57" s="12" t="str">
        <f>"みずほ病院"</f>
        <v>みずほ病院</v>
      </c>
      <c r="D57" s="12" t="str">
        <f>"867-0034"</f>
        <v>867-0034</v>
      </c>
      <c r="E57" s="12" t="s">
        <v>135</v>
      </c>
      <c r="F57" s="12" t="str">
        <f>"0966635196    "</f>
        <v xml:space="preserve">0966635196    </v>
      </c>
      <c r="G57" s="12" t="str">
        <f>"医療法人正仁会"</f>
        <v>医療法人正仁会</v>
      </c>
      <c r="H57" s="12" t="str">
        <f>"S40.04.01"</f>
        <v>S40.04.01</v>
      </c>
      <c r="I57" s="12" t="str">
        <f t="shared" ref="I57:I64" si="8">"開設中"</f>
        <v>開設中</v>
      </c>
      <c r="J57" s="12">
        <v>180</v>
      </c>
      <c r="K57" s="12">
        <v>0</v>
      </c>
      <c r="L57" s="12">
        <v>0</v>
      </c>
      <c r="M57" s="12">
        <v>180</v>
      </c>
      <c r="N57" s="12">
        <v>0</v>
      </c>
      <c r="O57" s="12">
        <v>0</v>
      </c>
      <c r="P57" s="13" t="s">
        <v>208</v>
      </c>
      <c r="Q57" s="13" t="s">
        <v>208</v>
      </c>
      <c r="R57" s="13" t="s">
        <v>208</v>
      </c>
      <c r="S57" s="13" t="s">
        <v>208</v>
      </c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6"/>
    </row>
    <row r="58" spans="1:54" ht="24.75" customHeight="1" x14ac:dyDescent="0.4">
      <c r="A58" s="14">
        <v>54</v>
      </c>
      <c r="B58" s="11" t="s">
        <v>212</v>
      </c>
      <c r="C58" s="12" t="str">
        <f>"岡部病院"</f>
        <v>岡部病院</v>
      </c>
      <c r="D58" s="12" t="str">
        <f>"867-0045"</f>
        <v>867-0045</v>
      </c>
      <c r="E58" s="12" t="s">
        <v>136</v>
      </c>
      <c r="F58" s="12" t="str">
        <f>"0966633311    "</f>
        <v xml:space="preserve">0966633311    </v>
      </c>
      <c r="G58" s="12" t="str">
        <f>"医療法人　岡部病院"</f>
        <v>医療法人　岡部病院</v>
      </c>
      <c r="H58" s="12" t="str">
        <f>"S42.08.01"</f>
        <v>S42.08.01</v>
      </c>
      <c r="I58" s="12" t="str">
        <f t="shared" si="8"/>
        <v>開設中</v>
      </c>
      <c r="J58" s="12">
        <v>119</v>
      </c>
      <c r="K58" s="12">
        <v>52</v>
      </c>
      <c r="L58" s="12">
        <v>67</v>
      </c>
      <c r="M58" s="12">
        <v>0</v>
      </c>
      <c r="N58" s="12">
        <v>0</v>
      </c>
      <c r="O58" s="12">
        <v>0</v>
      </c>
      <c r="P58" s="13" t="s">
        <v>208</v>
      </c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 t="s">
        <v>208</v>
      </c>
      <c r="AC58" s="13" t="s">
        <v>208</v>
      </c>
      <c r="AD58" s="13"/>
      <c r="AE58" s="13"/>
      <c r="AF58" s="13"/>
      <c r="AG58" s="13"/>
      <c r="AH58" s="13"/>
      <c r="AI58" s="13"/>
      <c r="AJ58" s="13"/>
      <c r="AK58" s="13"/>
      <c r="AL58" s="13"/>
      <c r="AM58" s="13" t="s">
        <v>208</v>
      </c>
      <c r="AN58" s="13" t="s">
        <v>208</v>
      </c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6" t="s">
        <v>64</v>
      </c>
    </row>
    <row r="59" spans="1:54" ht="24.75" customHeight="1" x14ac:dyDescent="0.4">
      <c r="A59" s="14">
        <v>55</v>
      </c>
      <c r="B59" s="11" t="s">
        <v>212</v>
      </c>
      <c r="C59" s="12" t="str">
        <f>"水俣病院"</f>
        <v>水俣病院</v>
      </c>
      <c r="D59" s="12" t="str">
        <f>"867-0008"</f>
        <v>867-0008</v>
      </c>
      <c r="E59" s="12" t="s">
        <v>137</v>
      </c>
      <c r="F59" s="12" t="str">
        <f>"0966633148    "</f>
        <v xml:space="preserve">0966633148    </v>
      </c>
      <c r="G59" s="12" t="str">
        <f>"医療法人　旭会"</f>
        <v>医療法人　旭会</v>
      </c>
      <c r="H59" s="12" t="str">
        <f>"S43.05.01"</f>
        <v>S43.05.01</v>
      </c>
      <c r="I59" s="12" t="str">
        <f t="shared" si="8"/>
        <v>開設中</v>
      </c>
      <c r="J59" s="12">
        <v>200</v>
      </c>
      <c r="K59" s="12">
        <v>0</v>
      </c>
      <c r="L59" s="12">
        <v>0</v>
      </c>
      <c r="M59" s="12">
        <v>200</v>
      </c>
      <c r="N59" s="12">
        <v>0</v>
      </c>
      <c r="O59" s="12">
        <v>0</v>
      </c>
      <c r="P59" s="13"/>
      <c r="Q59" s="13"/>
      <c r="R59" s="13" t="s">
        <v>208</v>
      </c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6"/>
    </row>
    <row r="60" spans="1:54" ht="24.75" customHeight="1" x14ac:dyDescent="0.4">
      <c r="A60" s="14">
        <v>56</v>
      </c>
      <c r="B60" s="11" t="s">
        <v>212</v>
      </c>
      <c r="C60" s="12" t="str">
        <f>"水俣協立病院"</f>
        <v>水俣協立病院</v>
      </c>
      <c r="D60" s="12" t="str">
        <f>"867-0045"</f>
        <v>867-0045</v>
      </c>
      <c r="E60" s="12" t="s">
        <v>138</v>
      </c>
      <c r="F60" s="12" t="str">
        <f>"0966631704    "</f>
        <v xml:space="preserve">0966631704    </v>
      </c>
      <c r="G60" s="12" t="str">
        <f>"社会医療法人　芳和会"</f>
        <v>社会医療法人　芳和会</v>
      </c>
      <c r="H60" s="12" t="str">
        <f>"S53.02.28"</f>
        <v>S53.02.28</v>
      </c>
      <c r="I60" s="12" t="str">
        <f t="shared" si="8"/>
        <v>開設中</v>
      </c>
      <c r="J60" s="12">
        <v>60</v>
      </c>
      <c r="K60" s="12">
        <v>60</v>
      </c>
      <c r="L60" s="12">
        <v>0</v>
      </c>
      <c r="M60" s="12">
        <v>0</v>
      </c>
      <c r="N60" s="12">
        <v>0</v>
      </c>
      <c r="O60" s="12">
        <v>0</v>
      </c>
      <c r="P60" s="13" t="s">
        <v>208</v>
      </c>
      <c r="Q60" s="13"/>
      <c r="R60" s="13" t="s">
        <v>208</v>
      </c>
      <c r="S60" s="13"/>
      <c r="T60" s="13" t="s">
        <v>208</v>
      </c>
      <c r="U60" s="13" t="s">
        <v>208</v>
      </c>
      <c r="V60" s="13" t="s">
        <v>208</v>
      </c>
      <c r="W60" s="13"/>
      <c r="X60" s="13" t="s">
        <v>208</v>
      </c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 t="s">
        <v>208</v>
      </c>
      <c r="AV60" s="13" t="s">
        <v>208</v>
      </c>
      <c r="AW60" s="13"/>
      <c r="AX60" s="13"/>
      <c r="AY60" s="13"/>
      <c r="AZ60" s="13"/>
      <c r="BA60" s="13"/>
      <c r="BB60" s="16"/>
    </row>
    <row r="61" spans="1:54" ht="24.75" customHeight="1" x14ac:dyDescent="0.4">
      <c r="A61" s="14">
        <v>57</v>
      </c>
      <c r="B61" s="11" t="s">
        <v>212</v>
      </c>
      <c r="C61" s="12" t="str">
        <f>"白梅病院"</f>
        <v>白梅病院</v>
      </c>
      <c r="D61" s="12" t="str">
        <f>"867-0008"</f>
        <v>867-0008</v>
      </c>
      <c r="E61" s="12" t="s">
        <v>139</v>
      </c>
      <c r="F61" s="12" t="str">
        <f>"0966637575    "</f>
        <v xml:space="preserve">0966637575    </v>
      </c>
      <c r="G61" s="12" t="str">
        <f>"医療法人　啓愛会"</f>
        <v>医療法人　啓愛会</v>
      </c>
      <c r="H61" s="12" t="str">
        <f>"S60.02.01"</f>
        <v>S60.02.01</v>
      </c>
      <c r="I61" s="12" t="str">
        <f t="shared" si="8"/>
        <v>開設中</v>
      </c>
      <c r="J61" s="12">
        <v>54</v>
      </c>
      <c r="K61" s="12">
        <v>0</v>
      </c>
      <c r="L61" s="12">
        <v>54</v>
      </c>
      <c r="M61" s="12">
        <v>0</v>
      </c>
      <c r="N61" s="12">
        <v>0</v>
      </c>
      <c r="O61" s="12">
        <v>0</v>
      </c>
      <c r="P61" s="13" t="s">
        <v>208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 t="s">
        <v>208</v>
      </c>
      <c r="AV61" s="13"/>
      <c r="AW61" s="13"/>
      <c r="AX61" s="13"/>
      <c r="AY61" s="13"/>
      <c r="AZ61" s="13"/>
      <c r="BA61" s="13"/>
      <c r="BB61" s="16"/>
    </row>
    <row r="62" spans="1:54" ht="24.75" customHeight="1" x14ac:dyDescent="0.4">
      <c r="A62" s="14">
        <v>58</v>
      </c>
      <c r="B62" s="11" t="s">
        <v>212</v>
      </c>
      <c r="C62" s="12" t="str">
        <f>"水俣市立明水園"</f>
        <v>水俣市立明水園</v>
      </c>
      <c r="D62" s="12" t="str">
        <f>"867-0008"</f>
        <v>867-0008</v>
      </c>
      <c r="E62" s="12" t="s">
        <v>140</v>
      </c>
      <c r="F62" s="12" t="str">
        <f>"0966631108    "</f>
        <v xml:space="preserve">0966631108    </v>
      </c>
      <c r="G62" s="12" t="str">
        <f>"社会福祉法人　水俣市社会福祉事業団"</f>
        <v>社会福祉法人　水俣市社会福祉事業団</v>
      </c>
      <c r="H62" s="12" t="str">
        <f>"S47.12.14"</f>
        <v>S47.12.14</v>
      </c>
      <c r="I62" s="12" t="str">
        <f t="shared" si="8"/>
        <v>開設中</v>
      </c>
      <c r="J62" s="12">
        <v>65</v>
      </c>
      <c r="K62" s="12">
        <v>65</v>
      </c>
      <c r="L62" s="12">
        <v>0</v>
      </c>
      <c r="M62" s="12">
        <v>0</v>
      </c>
      <c r="N62" s="12">
        <v>0</v>
      </c>
      <c r="O62" s="12">
        <v>0</v>
      </c>
      <c r="P62" s="13" t="s">
        <v>208</v>
      </c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6"/>
    </row>
    <row r="63" spans="1:54" ht="24.75" customHeight="1" x14ac:dyDescent="0.4">
      <c r="A63" s="14">
        <v>59</v>
      </c>
      <c r="B63" s="11" t="s">
        <v>212</v>
      </c>
      <c r="C63" s="12" t="str">
        <f>"医療法人社団　弘翔会　井上病院"</f>
        <v>医療法人社団　弘翔会　井上病院</v>
      </c>
      <c r="D63" s="12" t="str">
        <f>"869-5441"</f>
        <v>869-5441</v>
      </c>
      <c r="E63" s="12" t="s">
        <v>141</v>
      </c>
      <c r="F63" s="12" t="str">
        <f>"0966825865    "</f>
        <v xml:space="preserve">0966825865    </v>
      </c>
      <c r="G63" s="12" t="str">
        <f>"医療法人社団　弘翔会"</f>
        <v>医療法人社団　弘翔会</v>
      </c>
      <c r="H63" s="12" t="str">
        <f>"H13.04.01"</f>
        <v>H13.04.01</v>
      </c>
      <c r="I63" s="12" t="str">
        <f t="shared" si="8"/>
        <v>開設中</v>
      </c>
      <c r="J63" s="12">
        <v>40</v>
      </c>
      <c r="K63" s="12">
        <v>0</v>
      </c>
      <c r="L63" s="12">
        <v>40</v>
      </c>
      <c r="M63" s="12">
        <v>0</v>
      </c>
      <c r="N63" s="12">
        <v>0</v>
      </c>
      <c r="O63" s="12">
        <v>0</v>
      </c>
      <c r="P63" s="13" t="s">
        <v>208</v>
      </c>
      <c r="Q63" s="13"/>
      <c r="R63" s="13"/>
      <c r="S63" s="13"/>
      <c r="T63" s="13"/>
      <c r="U63" s="13"/>
      <c r="V63" s="13"/>
      <c r="W63" s="13" t="s">
        <v>208</v>
      </c>
      <c r="X63" s="13"/>
      <c r="Y63" s="13"/>
      <c r="Z63" s="13"/>
      <c r="AA63" s="13" t="s">
        <v>208</v>
      </c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6"/>
    </row>
    <row r="64" spans="1:54" ht="24.75" customHeight="1" x14ac:dyDescent="0.4">
      <c r="A64" s="14">
        <v>60</v>
      </c>
      <c r="B64" s="11" t="s">
        <v>212</v>
      </c>
      <c r="C64" s="12" t="str">
        <f>"くまもと芦北療育医療センター"</f>
        <v>くまもと芦北療育医療センター</v>
      </c>
      <c r="D64" s="12" t="str">
        <f>"869-5461"</f>
        <v>869-5461</v>
      </c>
      <c r="E64" s="12" t="s">
        <v>142</v>
      </c>
      <c r="F64" s="12" t="str">
        <f>"0966822431    "</f>
        <v xml:space="preserve">0966822431    </v>
      </c>
      <c r="G64" s="12" t="str">
        <f>"社会福祉法人　志友会"</f>
        <v>社会福祉法人　志友会</v>
      </c>
      <c r="H64" s="12" t="str">
        <f>"S45.06.30"</f>
        <v>S45.06.30</v>
      </c>
      <c r="I64" s="12" t="str">
        <f t="shared" si="8"/>
        <v>開設中</v>
      </c>
      <c r="J64" s="12">
        <v>205</v>
      </c>
      <c r="K64" s="12">
        <v>205</v>
      </c>
      <c r="L64" s="12">
        <v>0</v>
      </c>
      <c r="M64" s="12">
        <v>0</v>
      </c>
      <c r="N64" s="12">
        <v>0</v>
      </c>
      <c r="O64" s="12">
        <v>0</v>
      </c>
      <c r="P64" s="13" t="s">
        <v>208</v>
      </c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 t="s">
        <v>208</v>
      </c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 t="s">
        <v>208</v>
      </c>
      <c r="AX64" s="13"/>
      <c r="AY64" s="13"/>
      <c r="AZ64" s="13"/>
      <c r="BA64" s="13"/>
      <c r="BB64" s="16"/>
    </row>
    <row r="65" spans="1:54" ht="24.75" customHeight="1" x14ac:dyDescent="0.4">
      <c r="A65" s="14">
        <v>61</v>
      </c>
      <c r="B65" s="11" t="s">
        <v>212</v>
      </c>
      <c r="C65" s="12" t="str">
        <f>"溝部病院"</f>
        <v>溝部病院</v>
      </c>
      <c r="D65" s="12" t="str">
        <f>"869-5563"</f>
        <v>869-5563</v>
      </c>
      <c r="E65" s="12" t="s">
        <v>143</v>
      </c>
      <c r="F65" s="12" t="str">
        <f>"0966862770    "</f>
        <v xml:space="preserve">0966862770    </v>
      </c>
      <c r="G65" s="12" t="str">
        <f>"医療法人康生会"</f>
        <v>医療法人康生会</v>
      </c>
      <c r="H65" s="12" t="str">
        <f>"H20.01.16"</f>
        <v>H20.01.16</v>
      </c>
      <c r="I65" s="12" t="str">
        <f>"開設中"</f>
        <v>開設中</v>
      </c>
      <c r="J65" s="12">
        <v>44</v>
      </c>
      <c r="K65" s="12">
        <v>0</v>
      </c>
      <c r="L65" s="12">
        <v>44</v>
      </c>
      <c r="M65" s="12">
        <v>0</v>
      </c>
      <c r="N65" s="12">
        <v>0</v>
      </c>
      <c r="O65" s="12">
        <v>0</v>
      </c>
      <c r="P65" s="13" t="s">
        <v>208</v>
      </c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6" t="s">
        <v>65</v>
      </c>
    </row>
    <row r="66" spans="1:54" ht="24.75" customHeight="1" x14ac:dyDescent="0.4">
      <c r="A66" s="14">
        <v>62</v>
      </c>
      <c r="B66" s="11" t="s">
        <v>213</v>
      </c>
      <c r="C66" s="12" t="str">
        <f>"愛生記念病院"</f>
        <v>愛生記念病院</v>
      </c>
      <c r="D66" s="12" t="str">
        <f>"868-0037"</f>
        <v>868-0037</v>
      </c>
      <c r="E66" s="12" t="s">
        <v>144</v>
      </c>
      <c r="F66" s="12" t="str">
        <f>"0966226878    "</f>
        <v xml:space="preserve">0966226878    </v>
      </c>
      <c r="G66" s="12" t="str">
        <f>"医療法人愛生会"</f>
        <v>医療法人愛生会</v>
      </c>
      <c r="H66" s="12" t="str">
        <f>"H15.03.24"</f>
        <v>H15.03.24</v>
      </c>
      <c r="I66" s="12" t="str">
        <f>"開設中"</f>
        <v>開設中</v>
      </c>
      <c r="J66" s="12">
        <v>71</v>
      </c>
      <c r="K66" s="12">
        <v>71</v>
      </c>
      <c r="L66" s="12">
        <v>0</v>
      </c>
      <c r="M66" s="12">
        <v>0</v>
      </c>
      <c r="N66" s="12">
        <v>0</v>
      </c>
      <c r="O66" s="12">
        <v>0</v>
      </c>
      <c r="P66" s="13" t="s">
        <v>208</v>
      </c>
      <c r="Q66" s="13"/>
      <c r="R66" s="13"/>
      <c r="S66" s="13"/>
      <c r="T66" s="13"/>
      <c r="U66" s="13" t="s">
        <v>208</v>
      </c>
      <c r="V66" s="13" t="s">
        <v>208</v>
      </c>
      <c r="W66" s="13"/>
      <c r="X66" s="13" t="s">
        <v>208</v>
      </c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 t="s">
        <v>208</v>
      </c>
      <c r="AV66" s="13" t="s">
        <v>208</v>
      </c>
      <c r="AW66" s="13"/>
      <c r="AX66" s="13"/>
      <c r="AY66" s="13"/>
      <c r="AZ66" s="13"/>
      <c r="BA66" s="13"/>
      <c r="BB66" s="16"/>
    </row>
    <row r="67" spans="1:54" ht="24.75" customHeight="1" x14ac:dyDescent="0.4">
      <c r="A67" s="14">
        <v>63</v>
      </c>
      <c r="B67" s="11" t="s">
        <v>213</v>
      </c>
      <c r="C67" s="12" t="str">
        <f>"医療法人蘇春堂球磨病院"</f>
        <v>医療法人蘇春堂球磨病院</v>
      </c>
      <c r="D67" s="12" t="str">
        <f>"868-0005"</f>
        <v>868-0005</v>
      </c>
      <c r="E67" s="12" t="s">
        <v>145</v>
      </c>
      <c r="F67" s="12" t="str">
        <f>"0966223121    "</f>
        <v xml:space="preserve">0966223121    </v>
      </c>
      <c r="G67" s="12" t="str">
        <f>"医療法人　蘇春堂"</f>
        <v>医療法人　蘇春堂</v>
      </c>
      <c r="H67" s="12" t="str">
        <f>"H13.03.01"</f>
        <v>H13.03.01</v>
      </c>
      <c r="I67" s="12" t="str">
        <f>"開設中"</f>
        <v>開設中</v>
      </c>
      <c r="J67" s="12">
        <v>238</v>
      </c>
      <c r="K67" s="12">
        <v>70</v>
      </c>
      <c r="L67" s="12">
        <v>168</v>
      </c>
      <c r="M67" s="12">
        <v>0</v>
      </c>
      <c r="N67" s="12">
        <v>0</v>
      </c>
      <c r="O67" s="12">
        <v>0</v>
      </c>
      <c r="P67" s="13" t="s">
        <v>208</v>
      </c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 t="s">
        <v>208</v>
      </c>
      <c r="AB67" s="13" t="s">
        <v>208</v>
      </c>
      <c r="AC67" s="13" t="s">
        <v>208</v>
      </c>
      <c r="AD67" s="13"/>
      <c r="AE67" s="13"/>
      <c r="AF67" s="13" t="s">
        <v>208</v>
      </c>
      <c r="AG67" s="13"/>
      <c r="AH67" s="13"/>
      <c r="AI67" s="13" t="s">
        <v>208</v>
      </c>
      <c r="AJ67" s="13"/>
      <c r="AK67" s="13"/>
      <c r="AL67" s="13" t="s">
        <v>208</v>
      </c>
      <c r="AM67" s="13"/>
      <c r="AN67" s="13" t="s">
        <v>208</v>
      </c>
      <c r="AO67" s="13"/>
      <c r="AP67" s="13"/>
      <c r="AQ67" s="13"/>
      <c r="AR67" s="13"/>
      <c r="AS67" s="13" t="s">
        <v>208</v>
      </c>
      <c r="AT67" s="13"/>
      <c r="AU67" s="13" t="s">
        <v>208</v>
      </c>
      <c r="AV67" s="13"/>
      <c r="AW67" s="13"/>
      <c r="AX67" s="13"/>
      <c r="AY67" s="13"/>
      <c r="AZ67" s="13"/>
      <c r="BA67" s="13"/>
      <c r="BB67" s="16"/>
    </row>
    <row r="68" spans="1:54" ht="24.75" customHeight="1" x14ac:dyDescent="0.4">
      <c r="A68" s="14">
        <v>64</v>
      </c>
      <c r="B68" s="11" t="s">
        <v>213</v>
      </c>
      <c r="C68" s="12" t="str">
        <f>"医療法人外山胃腸病院"</f>
        <v>医療法人外山胃腸病院</v>
      </c>
      <c r="D68" s="12" t="str">
        <f>"868-0037"</f>
        <v>868-0037</v>
      </c>
      <c r="E68" s="12" t="s">
        <v>146</v>
      </c>
      <c r="F68" s="12" t="str">
        <f>"0966223221    "</f>
        <v xml:space="preserve">0966223221    </v>
      </c>
      <c r="G68" s="12" t="str">
        <f>"医療法人外山胃腸病院"</f>
        <v>医療法人外山胃腸病院</v>
      </c>
      <c r="H68" s="12" t="str">
        <f>"H02.10.01"</f>
        <v>H02.10.01</v>
      </c>
      <c r="I68" s="12" t="str">
        <f t="shared" ref="I68:I73" si="9">"開設中"</f>
        <v>開設中</v>
      </c>
      <c r="J68" s="12">
        <v>84</v>
      </c>
      <c r="K68" s="12">
        <v>58</v>
      </c>
      <c r="L68" s="12">
        <v>26</v>
      </c>
      <c r="M68" s="12">
        <v>0</v>
      </c>
      <c r="N68" s="12">
        <v>0</v>
      </c>
      <c r="O68" s="12">
        <v>0</v>
      </c>
      <c r="P68" s="13" t="s">
        <v>208</v>
      </c>
      <c r="Q68" s="13"/>
      <c r="R68" s="13"/>
      <c r="S68" s="13"/>
      <c r="T68" s="13"/>
      <c r="U68" s="13"/>
      <c r="V68" s="13"/>
      <c r="W68" s="13" t="s">
        <v>208</v>
      </c>
      <c r="X68" s="13"/>
      <c r="Y68" s="13"/>
      <c r="Z68" s="13"/>
      <c r="AA68" s="13"/>
      <c r="AB68" s="13" t="s">
        <v>208</v>
      </c>
      <c r="AC68" s="13" t="s">
        <v>208</v>
      </c>
      <c r="AD68" s="13" t="s">
        <v>208</v>
      </c>
      <c r="AE68" s="13"/>
      <c r="AF68" s="13"/>
      <c r="AG68" s="13"/>
      <c r="AH68" s="13"/>
      <c r="AI68" s="13"/>
      <c r="AJ68" s="13"/>
      <c r="AK68" s="13" t="s">
        <v>208</v>
      </c>
      <c r="AL68" s="13"/>
      <c r="AM68" s="13"/>
      <c r="AN68" s="13"/>
      <c r="AO68" s="13"/>
      <c r="AP68" s="13"/>
      <c r="AQ68" s="13"/>
      <c r="AR68" s="13"/>
      <c r="AS68" s="13"/>
      <c r="AT68" s="13"/>
      <c r="AU68" s="13" t="s">
        <v>208</v>
      </c>
      <c r="AV68" s="13"/>
      <c r="AW68" s="13"/>
      <c r="AX68" s="13"/>
      <c r="AY68" s="13"/>
      <c r="AZ68" s="13"/>
      <c r="BA68" s="13"/>
      <c r="BB68" s="16"/>
    </row>
    <row r="69" spans="1:54" ht="24.75" customHeight="1" x14ac:dyDescent="0.4">
      <c r="A69" s="14">
        <v>65</v>
      </c>
      <c r="B69" s="11" t="s">
        <v>213</v>
      </c>
      <c r="C69" s="12" t="str">
        <f>"球磨郡公立多良木病院"</f>
        <v>球磨郡公立多良木病院</v>
      </c>
      <c r="D69" s="12" t="str">
        <f>"868-0501"</f>
        <v>868-0501</v>
      </c>
      <c r="E69" s="12" t="s">
        <v>147</v>
      </c>
      <c r="F69" s="12" t="str">
        <f>"0966422560    "</f>
        <v xml:space="preserve">0966422560    </v>
      </c>
      <c r="G69" s="12" t="str">
        <f>"球磨郡公立多良木病院企業団"</f>
        <v>球磨郡公立多良木病院企業団</v>
      </c>
      <c r="H69" s="12" t="str">
        <f>"S59.10.01"</f>
        <v>S59.10.01</v>
      </c>
      <c r="I69" s="12" t="str">
        <f t="shared" si="9"/>
        <v>開設中</v>
      </c>
      <c r="J69" s="12">
        <v>183</v>
      </c>
      <c r="K69" s="12">
        <v>183</v>
      </c>
      <c r="L69" s="12">
        <v>0</v>
      </c>
      <c r="M69" s="12">
        <v>0</v>
      </c>
      <c r="N69" s="12">
        <v>0</v>
      </c>
      <c r="O69" s="12">
        <v>0</v>
      </c>
      <c r="P69" s="13" t="s">
        <v>208</v>
      </c>
      <c r="Q69" s="13"/>
      <c r="R69" s="13"/>
      <c r="S69" s="13"/>
      <c r="T69" s="13"/>
      <c r="U69" s="13" t="s">
        <v>208</v>
      </c>
      <c r="V69" s="13" t="s">
        <v>208</v>
      </c>
      <c r="W69" s="13"/>
      <c r="X69" s="13" t="s">
        <v>208</v>
      </c>
      <c r="Y69" s="13"/>
      <c r="Z69" s="13"/>
      <c r="AA69" s="13" t="s">
        <v>208</v>
      </c>
      <c r="AB69" s="13" t="s">
        <v>208</v>
      </c>
      <c r="AC69" s="13" t="s">
        <v>208</v>
      </c>
      <c r="AD69" s="13"/>
      <c r="AE69" s="13"/>
      <c r="AF69" s="13" t="s">
        <v>208</v>
      </c>
      <c r="AG69" s="13"/>
      <c r="AH69" s="13" t="s">
        <v>208</v>
      </c>
      <c r="AI69" s="13"/>
      <c r="AJ69" s="13"/>
      <c r="AK69" s="13"/>
      <c r="AL69" s="13"/>
      <c r="AM69" s="13" t="s">
        <v>208</v>
      </c>
      <c r="AN69" s="13" t="s">
        <v>208</v>
      </c>
      <c r="AO69" s="13" t="s">
        <v>208</v>
      </c>
      <c r="AP69" s="13"/>
      <c r="AQ69" s="13"/>
      <c r="AR69" s="13" t="s">
        <v>208</v>
      </c>
      <c r="AS69" s="13" t="s">
        <v>208</v>
      </c>
      <c r="AT69" s="13"/>
      <c r="AU69" s="13" t="s">
        <v>208</v>
      </c>
      <c r="AV69" s="13"/>
      <c r="AW69" s="13" t="s">
        <v>208</v>
      </c>
      <c r="AX69" s="13"/>
      <c r="AY69" s="13"/>
      <c r="AZ69" s="13"/>
      <c r="BA69" s="13"/>
      <c r="BB69" s="16"/>
    </row>
    <row r="70" spans="1:54" ht="24.75" customHeight="1" x14ac:dyDescent="0.4">
      <c r="A70" s="14">
        <v>66</v>
      </c>
      <c r="B70" s="11" t="s">
        <v>213</v>
      </c>
      <c r="C70" s="12" t="str">
        <f>"独立行政法人　地域医療機能推進機構　人吉医療センター"</f>
        <v>独立行政法人　地域医療機能推進機構　人吉医療センター</v>
      </c>
      <c r="D70" s="12" t="str">
        <f>"868-8555"</f>
        <v>868-8555</v>
      </c>
      <c r="E70" s="12" t="s">
        <v>148</v>
      </c>
      <c r="F70" s="12" t="str">
        <f>"0966222191    "</f>
        <v xml:space="preserve">0966222191    </v>
      </c>
      <c r="G70" s="12" t="str">
        <f>"独立行政法人　地域医療機能推進機構"</f>
        <v>独立行政法人　地域医療機能推進機構</v>
      </c>
      <c r="H70" s="12" t="str">
        <f>"S37.05.16"</f>
        <v>S37.05.16</v>
      </c>
      <c r="I70" s="12" t="str">
        <f t="shared" si="9"/>
        <v>開設中</v>
      </c>
      <c r="J70" s="12">
        <v>252</v>
      </c>
      <c r="K70" s="12">
        <v>248</v>
      </c>
      <c r="L70" s="12">
        <v>0</v>
      </c>
      <c r="M70" s="12">
        <v>0</v>
      </c>
      <c r="N70" s="12">
        <v>0</v>
      </c>
      <c r="O70" s="12">
        <v>4</v>
      </c>
      <c r="P70" s="13" t="s">
        <v>208</v>
      </c>
      <c r="Q70" s="13"/>
      <c r="R70" s="13"/>
      <c r="S70" s="13"/>
      <c r="T70" s="13" t="s">
        <v>208</v>
      </c>
      <c r="U70" s="13"/>
      <c r="V70" s="13"/>
      <c r="W70" s="13"/>
      <c r="X70" s="13"/>
      <c r="Y70" s="13"/>
      <c r="Z70" s="13"/>
      <c r="AA70" s="13" t="s">
        <v>208</v>
      </c>
      <c r="AB70" s="13" t="s">
        <v>208</v>
      </c>
      <c r="AC70" s="13" t="s">
        <v>208</v>
      </c>
      <c r="AD70" s="13" t="s">
        <v>208</v>
      </c>
      <c r="AE70" s="13"/>
      <c r="AF70" s="13" t="s">
        <v>208</v>
      </c>
      <c r="AG70" s="13" t="s">
        <v>208</v>
      </c>
      <c r="AH70" s="13"/>
      <c r="AI70" s="13"/>
      <c r="AJ70" s="13"/>
      <c r="AK70" s="13"/>
      <c r="AL70" s="13"/>
      <c r="AM70" s="13" t="s">
        <v>208</v>
      </c>
      <c r="AN70" s="13" t="s">
        <v>208</v>
      </c>
      <c r="AO70" s="13" t="s">
        <v>208</v>
      </c>
      <c r="AP70" s="13"/>
      <c r="AQ70" s="13"/>
      <c r="AR70" s="13" t="s">
        <v>208</v>
      </c>
      <c r="AS70" s="13" t="s">
        <v>208</v>
      </c>
      <c r="AT70" s="13"/>
      <c r="AU70" s="13" t="s">
        <v>208</v>
      </c>
      <c r="AV70" s="13" t="s">
        <v>208</v>
      </c>
      <c r="AW70" s="13"/>
      <c r="AX70" s="13"/>
      <c r="AY70" s="13"/>
      <c r="AZ70" s="13" t="s">
        <v>208</v>
      </c>
      <c r="BA70" s="13" t="s">
        <v>208</v>
      </c>
      <c r="BB70" s="16" t="s">
        <v>66</v>
      </c>
    </row>
    <row r="71" spans="1:54" ht="24.75" customHeight="1" x14ac:dyDescent="0.4">
      <c r="A71" s="14">
        <v>67</v>
      </c>
      <c r="B71" s="11" t="s">
        <v>213</v>
      </c>
      <c r="C71" s="12" t="str">
        <f>"医療法人蘇春堂光生病院"</f>
        <v>医療法人蘇春堂光生病院</v>
      </c>
      <c r="D71" s="12" t="str">
        <f>"868-0086"</f>
        <v>868-0086</v>
      </c>
      <c r="E71" s="12" t="s">
        <v>149</v>
      </c>
      <c r="F71" s="12" t="str">
        <f>"0966225207    "</f>
        <v xml:space="preserve">0966225207    </v>
      </c>
      <c r="G71" s="12" t="str">
        <f>"医療法人　蘇春堂"</f>
        <v>医療法人　蘇春堂</v>
      </c>
      <c r="H71" s="12" t="str">
        <f>"S41.07.01"</f>
        <v>S41.07.01</v>
      </c>
      <c r="I71" s="12" t="str">
        <f t="shared" si="9"/>
        <v>開設中</v>
      </c>
      <c r="J71" s="12">
        <v>206</v>
      </c>
      <c r="K71" s="12">
        <v>0</v>
      </c>
      <c r="L71" s="12">
        <v>0</v>
      </c>
      <c r="M71" s="12">
        <v>206</v>
      </c>
      <c r="N71" s="12">
        <v>0</v>
      </c>
      <c r="O71" s="12">
        <v>0</v>
      </c>
      <c r="P71" s="13"/>
      <c r="Q71" s="13"/>
      <c r="R71" s="13" t="s">
        <v>208</v>
      </c>
      <c r="S71" s="13" t="s">
        <v>208</v>
      </c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6"/>
    </row>
    <row r="72" spans="1:54" ht="24.75" customHeight="1" x14ac:dyDescent="0.4">
      <c r="A72" s="14">
        <v>68</v>
      </c>
      <c r="B72" s="11" t="s">
        <v>213</v>
      </c>
      <c r="C72" s="12" t="str">
        <f>"東病院"</f>
        <v>東病院</v>
      </c>
      <c r="D72" s="12" t="str">
        <f>"868-0431"</f>
        <v>868-0431</v>
      </c>
      <c r="E72" s="12" t="s">
        <v>150</v>
      </c>
      <c r="F72" s="12" t="str">
        <f>"0966455711    "</f>
        <v xml:space="preserve">0966455711    </v>
      </c>
      <c r="G72" s="12" t="str">
        <f>"医療法人誠心会"</f>
        <v>医療法人誠心会</v>
      </c>
      <c r="H72" s="12" t="str">
        <f>"H04.12.01"</f>
        <v>H04.12.01</v>
      </c>
      <c r="I72" s="12" t="str">
        <f t="shared" si="9"/>
        <v>開設中</v>
      </c>
      <c r="J72" s="12">
        <v>54</v>
      </c>
      <c r="K72" s="12">
        <v>0</v>
      </c>
      <c r="L72" s="12">
        <v>54</v>
      </c>
      <c r="M72" s="12">
        <v>0</v>
      </c>
      <c r="N72" s="12">
        <v>0</v>
      </c>
      <c r="O72" s="12">
        <v>0</v>
      </c>
      <c r="P72" s="13" t="s">
        <v>208</v>
      </c>
      <c r="Q72" s="13"/>
      <c r="R72" s="13"/>
      <c r="S72" s="13"/>
      <c r="T72" s="13"/>
      <c r="U72" s="13" t="s">
        <v>208</v>
      </c>
      <c r="V72" s="13" t="s">
        <v>208</v>
      </c>
      <c r="W72" s="13" t="s">
        <v>208</v>
      </c>
      <c r="X72" s="13"/>
      <c r="Y72" s="13"/>
      <c r="Z72" s="13" t="s">
        <v>208</v>
      </c>
      <c r="AA72" s="13" t="s">
        <v>208</v>
      </c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 t="s">
        <v>208</v>
      </c>
      <c r="AV72" s="13" t="s">
        <v>208</v>
      </c>
      <c r="AW72" s="13"/>
      <c r="AX72" s="13"/>
      <c r="AY72" s="13"/>
      <c r="AZ72" s="13"/>
      <c r="BA72" s="13"/>
      <c r="BB72" s="16"/>
    </row>
    <row r="73" spans="1:54" ht="24.75" customHeight="1" x14ac:dyDescent="0.4">
      <c r="A73" s="14">
        <v>69</v>
      </c>
      <c r="B73" s="11" t="s">
        <v>213</v>
      </c>
      <c r="C73" s="12" t="str">
        <f>"堤病院"</f>
        <v>堤病院</v>
      </c>
      <c r="D73" s="12" t="str">
        <f>"868-0083"</f>
        <v>868-0083</v>
      </c>
      <c r="E73" s="12" t="s">
        <v>151</v>
      </c>
      <c r="F73" s="12" t="str">
        <f>"0966220200    "</f>
        <v xml:space="preserve">0966220200    </v>
      </c>
      <c r="G73" s="12" t="str">
        <f>"医療法人回生会"</f>
        <v>医療法人回生会</v>
      </c>
      <c r="H73" s="12" t="str">
        <f>"H12.05.25"</f>
        <v>H12.05.25</v>
      </c>
      <c r="I73" s="12" t="str">
        <f t="shared" si="9"/>
        <v>開設中</v>
      </c>
      <c r="J73" s="12">
        <v>55</v>
      </c>
      <c r="K73" s="12">
        <v>0</v>
      </c>
      <c r="L73" s="12">
        <v>55</v>
      </c>
      <c r="M73" s="12">
        <v>0</v>
      </c>
      <c r="N73" s="12">
        <v>0</v>
      </c>
      <c r="O73" s="12">
        <v>0</v>
      </c>
      <c r="P73" s="13" t="s">
        <v>208</v>
      </c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 t="s">
        <v>208</v>
      </c>
      <c r="AV73" s="13"/>
      <c r="AW73" s="13"/>
      <c r="AX73" s="13"/>
      <c r="AY73" s="13"/>
      <c r="AZ73" s="13"/>
      <c r="BA73" s="13"/>
      <c r="BB73" s="16" t="s">
        <v>67</v>
      </c>
    </row>
    <row r="74" spans="1:54" ht="24.75" customHeight="1" x14ac:dyDescent="0.4">
      <c r="A74" s="14">
        <v>70</v>
      </c>
      <c r="B74" s="11" t="s">
        <v>213</v>
      </c>
      <c r="C74" s="12" t="str">
        <f>"人吉こころのホスピタル"</f>
        <v>人吉こころのホスピタル</v>
      </c>
      <c r="D74" s="12" t="str">
        <f>"868-0015"</f>
        <v>868-0015</v>
      </c>
      <c r="E74" s="12" t="s">
        <v>152</v>
      </c>
      <c r="F74" s="12" t="str">
        <f>"0966224051    "</f>
        <v xml:space="preserve">0966224051    </v>
      </c>
      <c r="G74" s="12" t="str">
        <f>"医療法人　精翠会"</f>
        <v>医療法人　精翠会</v>
      </c>
      <c r="H74" s="12" t="str">
        <f>"S29.11.01"</f>
        <v>S29.11.01</v>
      </c>
      <c r="I74" s="12" t="str">
        <f>"開設中"</f>
        <v>開設中</v>
      </c>
      <c r="J74" s="12">
        <v>187</v>
      </c>
      <c r="K74" s="12">
        <v>0</v>
      </c>
      <c r="L74" s="12">
        <v>0</v>
      </c>
      <c r="M74" s="12">
        <v>187</v>
      </c>
      <c r="N74" s="12">
        <v>0</v>
      </c>
      <c r="O74" s="12">
        <v>0</v>
      </c>
      <c r="P74" s="13"/>
      <c r="Q74" s="13"/>
      <c r="R74" s="13" t="s">
        <v>208</v>
      </c>
      <c r="S74" s="13" t="s">
        <v>208</v>
      </c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6"/>
    </row>
    <row r="75" spans="1:54" ht="24.75" customHeight="1" x14ac:dyDescent="0.4">
      <c r="A75" s="14">
        <v>71</v>
      </c>
      <c r="B75" s="11" t="s">
        <v>213</v>
      </c>
      <c r="C75" s="12" t="str">
        <f>"万江病院"</f>
        <v>万江病院</v>
      </c>
      <c r="D75" s="12" t="str">
        <f>"868-0025"</f>
        <v>868-0025</v>
      </c>
      <c r="E75" s="12" t="s">
        <v>153</v>
      </c>
      <c r="F75" s="12" t="str">
        <f>"0966222357    "</f>
        <v xml:space="preserve">0966222357    </v>
      </c>
      <c r="G75" s="12" t="str">
        <f>"医療法人　恵泉会"</f>
        <v>医療法人　恵泉会</v>
      </c>
      <c r="H75" s="12" t="str">
        <f>"H20.11.01"</f>
        <v>H20.11.01</v>
      </c>
      <c r="I75" s="12" t="str">
        <f t="shared" ref="I75:I81" si="10">"開設中"</f>
        <v>開設中</v>
      </c>
      <c r="J75" s="12">
        <v>60</v>
      </c>
      <c r="K75" s="12">
        <v>0</v>
      </c>
      <c r="L75" s="12">
        <v>60</v>
      </c>
      <c r="M75" s="12">
        <v>0</v>
      </c>
      <c r="N75" s="12">
        <v>0</v>
      </c>
      <c r="O75" s="12">
        <v>0</v>
      </c>
      <c r="P75" s="13" t="s">
        <v>208</v>
      </c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 t="s">
        <v>208</v>
      </c>
      <c r="AV75" s="13"/>
      <c r="AW75" s="13"/>
      <c r="AX75" s="13"/>
      <c r="AY75" s="13"/>
      <c r="AZ75" s="13"/>
      <c r="BA75" s="13"/>
      <c r="BB75" s="16" t="s">
        <v>68</v>
      </c>
    </row>
    <row r="76" spans="1:54" ht="24.75" customHeight="1" x14ac:dyDescent="0.4">
      <c r="A76" s="14">
        <v>72</v>
      </c>
      <c r="B76" s="11" t="s">
        <v>213</v>
      </c>
      <c r="C76" s="12" t="str">
        <f>"人吉リハビリテーション病院"</f>
        <v>人吉リハビリテーション病院</v>
      </c>
      <c r="D76" s="12" t="str">
        <f>"868-0033"</f>
        <v>868-0033</v>
      </c>
      <c r="E76" s="12" t="s">
        <v>154</v>
      </c>
      <c r="F76" s="12" t="str">
        <f>"0966246111    "</f>
        <v xml:space="preserve">0966246111    </v>
      </c>
      <c r="G76" s="12" t="str">
        <f>"医療法人社団　同心会"</f>
        <v>医療法人社団　同心会</v>
      </c>
      <c r="H76" s="12" t="str">
        <f>"H24.05.01"</f>
        <v>H24.05.01</v>
      </c>
      <c r="I76" s="12" t="str">
        <f t="shared" si="10"/>
        <v>開設中</v>
      </c>
      <c r="J76" s="12">
        <v>54</v>
      </c>
      <c r="K76" s="12">
        <v>0</v>
      </c>
      <c r="L76" s="12">
        <v>54</v>
      </c>
      <c r="M76" s="12">
        <v>0</v>
      </c>
      <c r="N76" s="12">
        <v>0</v>
      </c>
      <c r="O76" s="12">
        <v>0</v>
      </c>
      <c r="P76" s="13" t="s">
        <v>208</v>
      </c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 t="s">
        <v>208</v>
      </c>
      <c r="AO76" s="13"/>
      <c r="AP76" s="13"/>
      <c r="AQ76" s="13"/>
      <c r="AR76" s="13"/>
      <c r="AS76" s="13"/>
      <c r="AT76" s="13"/>
      <c r="AU76" s="13" t="s">
        <v>208</v>
      </c>
      <c r="AV76" s="13" t="s">
        <v>208</v>
      </c>
      <c r="AW76" s="13"/>
      <c r="AX76" s="13"/>
      <c r="AY76" s="13"/>
      <c r="AZ76" s="13"/>
      <c r="BA76" s="13"/>
      <c r="BB76" s="16" t="s">
        <v>69</v>
      </c>
    </row>
    <row r="77" spans="1:54" ht="24.75" customHeight="1" x14ac:dyDescent="0.4">
      <c r="A77" s="14">
        <v>73</v>
      </c>
      <c r="B77" s="11" t="s">
        <v>214</v>
      </c>
      <c r="C77" s="12" t="str">
        <f>"荒尾市立有明医療センター"</f>
        <v>荒尾市立有明医療センター</v>
      </c>
      <c r="D77" s="12" t="str">
        <f>"864-0041"</f>
        <v>864-0041</v>
      </c>
      <c r="E77" s="12" t="s">
        <v>155</v>
      </c>
      <c r="F77" s="12" t="str">
        <f>"0968631115    "</f>
        <v xml:space="preserve">0968631115    </v>
      </c>
      <c r="G77" s="12" t="str">
        <f>"荒尾市"</f>
        <v>荒尾市</v>
      </c>
      <c r="H77" s="12" t="str">
        <f>"S24.04.01"</f>
        <v>S24.04.01</v>
      </c>
      <c r="I77" s="12" t="str">
        <f t="shared" si="10"/>
        <v>開設中</v>
      </c>
      <c r="J77" s="12">
        <v>274</v>
      </c>
      <c r="K77" s="12">
        <v>270</v>
      </c>
      <c r="L77" s="12">
        <v>0</v>
      </c>
      <c r="M77" s="12">
        <v>0</v>
      </c>
      <c r="N77" s="12">
        <v>0</v>
      </c>
      <c r="O77" s="12">
        <v>4</v>
      </c>
      <c r="P77" s="13" t="s">
        <v>208</v>
      </c>
      <c r="Q77" s="13"/>
      <c r="R77" s="13" t="s">
        <v>208</v>
      </c>
      <c r="S77" s="13"/>
      <c r="T77" s="13"/>
      <c r="U77" s="13"/>
      <c r="V77" s="13"/>
      <c r="W77" s="13"/>
      <c r="X77" s="13"/>
      <c r="Y77" s="13"/>
      <c r="Z77" s="13"/>
      <c r="AA77" s="13" t="s">
        <v>208</v>
      </c>
      <c r="AB77" s="13" t="s">
        <v>208</v>
      </c>
      <c r="AC77" s="13" t="s">
        <v>208</v>
      </c>
      <c r="AD77" s="13" t="s">
        <v>208</v>
      </c>
      <c r="AE77" s="13"/>
      <c r="AF77" s="13" t="s">
        <v>208</v>
      </c>
      <c r="AG77" s="13"/>
      <c r="AH77" s="13"/>
      <c r="AI77" s="13"/>
      <c r="AJ77" s="13"/>
      <c r="AK77" s="13"/>
      <c r="AL77" s="13"/>
      <c r="AM77" s="13" t="s">
        <v>208</v>
      </c>
      <c r="AN77" s="13" t="s">
        <v>208</v>
      </c>
      <c r="AO77" s="13" t="s">
        <v>208</v>
      </c>
      <c r="AP77" s="13"/>
      <c r="AQ77" s="13"/>
      <c r="AR77" s="13" t="s">
        <v>208</v>
      </c>
      <c r="AS77" s="13" t="s">
        <v>208</v>
      </c>
      <c r="AT77" s="13"/>
      <c r="AU77" s="13" t="s">
        <v>208</v>
      </c>
      <c r="AV77" s="13"/>
      <c r="AW77" s="13"/>
      <c r="AX77" s="13"/>
      <c r="AY77" s="13"/>
      <c r="AZ77" s="13" t="s">
        <v>208</v>
      </c>
      <c r="BA77" s="13" t="s">
        <v>208</v>
      </c>
      <c r="BB77" s="16" t="s">
        <v>70</v>
      </c>
    </row>
    <row r="78" spans="1:54" ht="24.75" customHeight="1" x14ac:dyDescent="0.4">
      <c r="A78" s="14">
        <v>74</v>
      </c>
      <c r="B78" s="11" t="s">
        <v>214</v>
      </c>
      <c r="C78" s="12" t="str">
        <f>"荒尾中央病院"</f>
        <v>荒尾中央病院</v>
      </c>
      <c r="D78" s="12" t="str">
        <f>"864-0032"</f>
        <v>864-0032</v>
      </c>
      <c r="E78" s="12" t="s">
        <v>156</v>
      </c>
      <c r="F78" s="12" t="str">
        <f>"0968641333    "</f>
        <v xml:space="preserve">0968641333    </v>
      </c>
      <c r="G78" s="12" t="str">
        <f>"医療法人　洗心会"</f>
        <v>医療法人　洗心会</v>
      </c>
      <c r="H78" s="12" t="str">
        <f>"S57.04.12"</f>
        <v>S57.04.12</v>
      </c>
      <c r="I78" s="12" t="str">
        <f t="shared" si="10"/>
        <v>開設中</v>
      </c>
      <c r="J78" s="12">
        <v>240</v>
      </c>
      <c r="K78" s="12">
        <v>0</v>
      </c>
      <c r="L78" s="12">
        <v>240</v>
      </c>
      <c r="M78" s="12">
        <v>0</v>
      </c>
      <c r="N78" s="12">
        <v>0</v>
      </c>
      <c r="O78" s="12">
        <v>0</v>
      </c>
      <c r="P78" s="13" t="s">
        <v>208</v>
      </c>
      <c r="Q78" s="13"/>
      <c r="R78" s="13" t="s">
        <v>208</v>
      </c>
      <c r="S78" s="13"/>
      <c r="T78" s="13" t="s">
        <v>208</v>
      </c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 t="s">
        <v>208</v>
      </c>
      <c r="AN78" s="13"/>
      <c r="AO78" s="13"/>
      <c r="AP78" s="13"/>
      <c r="AQ78" s="13"/>
      <c r="AR78" s="13"/>
      <c r="AS78" s="13"/>
      <c r="AT78" s="13"/>
      <c r="AU78" s="13" t="s">
        <v>208</v>
      </c>
      <c r="AV78" s="13" t="s">
        <v>208</v>
      </c>
      <c r="AW78" s="13"/>
      <c r="AX78" s="13"/>
      <c r="AY78" s="13"/>
      <c r="AZ78" s="13"/>
      <c r="BA78" s="13"/>
      <c r="BB78" s="16" t="s">
        <v>71</v>
      </c>
    </row>
    <row r="79" spans="1:54" ht="24.75" customHeight="1" x14ac:dyDescent="0.4">
      <c r="A79" s="14">
        <v>75</v>
      </c>
      <c r="B79" s="11" t="s">
        <v>214</v>
      </c>
      <c r="C79" s="12" t="str">
        <f>"荒尾こころの郷病院"</f>
        <v>荒尾こころの郷病院</v>
      </c>
      <c r="D79" s="12" t="str">
        <f>"864-0041"</f>
        <v>864-0041</v>
      </c>
      <c r="E79" s="12" t="s">
        <v>157</v>
      </c>
      <c r="F79" s="12" t="str">
        <f>"0968620657    "</f>
        <v xml:space="preserve">0968620657    </v>
      </c>
      <c r="G79" s="12" t="str">
        <f>"医療法人　洗心会"</f>
        <v>医療法人　洗心会</v>
      </c>
      <c r="H79" s="12" t="str">
        <f>"S43.11.05"</f>
        <v>S43.11.05</v>
      </c>
      <c r="I79" s="12" t="str">
        <f t="shared" si="10"/>
        <v>開設中</v>
      </c>
      <c r="J79" s="12">
        <v>272</v>
      </c>
      <c r="K79" s="12">
        <v>0</v>
      </c>
      <c r="L79" s="12">
        <v>0</v>
      </c>
      <c r="M79" s="12">
        <v>272</v>
      </c>
      <c r="N79" s="12">
        <v>0</v>
      </c>
      <c r="O79" s="12">
        <v>0</v>
      </c>
      <c r="P79" s="13" t="s">
        <v>208</v>
      </c>
      <c r="Q79" s="13" t="s">
        <v>208</v>
      </c>
      <c r="R79" s="13" t="s">
        <v>208</v>
      </c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 t="s">
        <v>208</v>
      </c>
      <c r="AX79" s="13"/>
      <c r="AY79" s="13"/>
      <c r="AZ79" s="13"/>
      <c r="BA79" s="13"/>
      <c r="BB79" s="16"/>
    </row>
    <row r="80" spans="1:54" ht="24.75" customHeight="1" x14ac:dyDescent="0.4">
      <c r="A80" s="14">
        <v>76</v>
      </c>
      <c r="B80" s="11" t="s">
        <v>214</v>
      </c>
      <c r="C80" s="12" t="str">
        <f>"有明成仁病院"</f>
        <v>有明成仁病院</v>
      </c>
      <c r="D80" s="12" t="str">
        <f>"869-0101"</f>
        <v>869-0101</v>
      </c>
      <c r="E80" s="12" t="s">
        <v>158</v>
      </c>
      <c r="F80" s="12" t="str">
        <f>"0968781133    "</f>
        <v xml:space="preserve">0968781133    </v>
      </c>
      <c r="G80" s="12" t="str">
        <f>"医療法人社団　聖和会"</f>
        <v>医療法人社団　聖和会</v>
      </c>
      <c r="H80" s="12" t="str">
        <f>"S55.12.15"</f>
        <v>S55.12.15</v>
      </c>
      <c r="I80" s="12" t="str">
        <f t="shared" si="10"/>
        <v>開設中</v>
      </c>
      <c r="J80" s="12">
        <v>89</v>
      </c>
      <c r="K80" s="12">
        <v>0</v>
      </c>
      <c r="L80" s="12">
        <v>89</v>
      </c>
      <c r="M80" s="12">
        <v>0</v>
      </c>
      <c r="N80" s="12">
        <v>0</v>
      </c>
      <c r="O80" s="12">
        <v>0</v>
      </c>
      <c r="P80" s="13" t="s">
        <v>208</v>
      </c>
      <c r="Q80" s="13"/>
      <c r="R80" s="13"/>
      <c r="S80" s="13"/>
      <c r="T80" s="13" t="s">
        <v>208</v>
      </c>
      <c r="U80" s="13"/>
      <c r="V80" s="13" t="s">
        <v>208</v>
      </c>
      <c r="W80" s="13"/>
      <c r="X80" s="13" t="s">
        <v>208</v>
      </c>
      <c r="Y80" s="13"/>
      <c r="Z80" s="13" t="s">
        <v>208</v>
      </c>
      <c r="AA80" s="13" t="s">
        <v>208</v>
      </c>
      <c r="AB80" s="13"/>
      <c r="AC80" s="13" t="s">
        <v>208</v>
      </c>
      <c r="AD80" s="13"/>
      <c r="AE80" s="13"/>
      <c r="AF80" s="13" t="s">
        <v>208</v>
      </c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 t="s">
        <v>208</v>
      </c>
      <c r="AV80" s="13"/>
      <c r="AW80" s="13"/>
      <c r="AX80" s="13"/>
      <c r="AY80" s="13"/>
      <c r="AZ80" s="13"/>
      <c r="BA80" s="13"/>
      <c r="BB80" s="16"/>
    </row>
    <row r="81" spans="1:54" ht="24.75" customHeight="1" x14ac:dyDescent="0.4">
      <c r="A81" s="14">
        <v>77</v>
      </c>
      <c r="B81" s="11" t="s">
        <v>214</v>
      </c>
      <c r="C81" s="12" t="str">
        <f>"有働病院"</f>
        <v>有働病院</v>
      </c>
      <c r="D81" s="12" t="str">
        <f>"864-0002"</f>
        <v>864-0002</v>
      </c>
      <c r="E81" s="12" t="s">
        <v>159</v>
      </c>
      <c r="F81" s="12" t="str">
        <f>"0968621138    "</f>
        <v xml:space="preserve">0968621138    </v>
      </c>
      <c r="G81" s="12" t="str">
        <f>"医療法人　有働会"</f>
        <v>医療法人　有働会</v>
      </c>
      <c r="H81" s="12" t="str">
        <f>"S32.05.06"</f>
        <v>S32.05.06</v>
      </c>
      <c r="I81" s="12" t="str">
        <f t="shared" si="10"/>
        <v>開設中</v>
      </c>
      <c r="J81" s="12">
        <v>275</v>
      </c>
      <c r="K81" s="12">
        <v>0</v>
      </c>
      <c r="L81" s="12">
        <v>0</v>
      </c>
      <c r="M81" s="12">
        <v>275</v>
      </c>
      <c r="N81" s="12">
        <v>0</v>
      </c>
      <c r="O81" s="12">
        <v>0</v>
      </c>
      <c r="P81" s="13"/>
      <c r="Q81" s="13" t="s">
        <v>208</v>
      </c>
      <c r="R81" s="13" t="s">
        <v>208</v>
      </c>
      <c r="S81" s="13" t="s">
        <v>208</v>
      </c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6" t="s">
        <v>72</v>
      </c>
    </row>
    <row r="82" spans="1:54" ht="24.75" customHeight="1" x14ac:dyDescent="0.4">
      <c r="A82" s="14">
        <v>78</v>
      </c>
      <c r="B82" s="11" t="s">
        <v>214</v>
      </c>
      <c r="C82" s="12" t="str">
        <f>"新生翠病院"</f>
        <v>新生翠病院</v>
      </c>
      <c r="D82" s="12" t="str">
        <f>"864-0032"</f>
        <v>864-0032</v>
      </c>
      <c r="E82" s="12" t="s">
        <v>160</v>
      </c>
      <c r="F82" s="12" t="str">
        <f>"0968620525    "</f>
        <v xml:space="preserve">0968620525    </v>
      </c>
      <c r="G82" s="12" t="str">
        <f>"医療法人　杏林会"</f>
        <v>医療法人　杏林会</v>
      </c>
      <c r="H82" s="12" t="str">
        <f>"S31.06.10"</f>
        <v>S31.06.10</v>
      </c>
      <c r="I82" s="12" t="str">
        <f t="shared" ref="I82:I96" si="11">"開設中"</f>
        <v>開設中</v>
      </c>
      <c r="J82" s="12">
        <v>99</v>
      </c>
      <c r="K82" s="12">
        <v>50</v>
      </c>
      <c r="L82" s="12">
        <v>49</v>
      </c>
      <c r="M82" s="12">
        <v>0</v>
      </c>
      <c r="N82" s="12">
        <v>0</v>
      </c>
      <c r="O82" s="12">
        <v>0</v>
      </c>
      <c r="P82" s="13" t="s">
        <v>208</v>
      </c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 t="s">
        <v>208</v>
      </c>
      <c r="AV82" s="13" t="s">
        <v>208</v>
      </c>
      <c r="AW82" s="13"/>
      <c r="AX82" s="13"/>
      <c r="AY82" s="13"/>
      <c r="AZ82" s="13"/>
      <c r="BA82" s="13"/>
      <c r="BB82" s="16" t="s">
        <v>73</v>
      </c>
    </row>
    <row r="83" spans="1:54" ht="24.75" customHeight="1" x14ac:dyDescent="0.4">
      <c r="A83" s="14">
        <v>79</v>
      </c>
      <c r="B83" s="11" t="s">
        <v>214</v>
      </c>
      <c r="C83" s="12" t="str">
        <f>"城ヶ崎病院"</f>
        <v>城ヶ崎病院</v>
      </c>
      <c r="D83" s="12" t="str">
        <f>"865-0041"</f>
        <v>865-0041</v>
      </c>
      <c r="E83" s="12" t="s">
        <v>161</v>
      </c>
      <c r="F83" s="12" t="str">
        <f>"0968733375    "</f>
        <v xml:space="preserve">0968733375    </v>
      </c>
      <c r="G83" s="12" t="str">
        <f>"医療法人信和会"</f>
        <v>医療法人信和会</v>
      </c>
      <c r="H83" s="12" t="str">
        <f>"S40.03.05"</f>
        <v>S40.03.05</v>
      </c>
      <c r="I83" s="12" t="str">
        <f t="shared" si="11"/>
        <v>開設中</v>
      </c>
      <c r="J83" s="12">
        <v>184</v>
      </c>
      <c r="K83" s="12">
        <v>0</v>
      </c>
      <c r="L83" s="12">
        <v>0</v>
      </c>
      <c r="M83" s="12">
        <v>184</v>
      </c>
      <c r="N83" s="12">
        <v>0</v>
      </c>
      <c r="O83" s="12">
        <v>0</v>
      </c>
      <c r="P83" s="13"/>
      <c r="Q83" s="13" t="s">
        <v>208</v>
      </c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6" t="s">
        <v>74</v>
      </c>
    </row>
    <row r="84" spans="1:54" ht="24.75" customHeight="1" x14ac:dyDescent="0.4">
      <c r="A84" s="14">
        <v>80</v>
      </c>
      <c r="B84" s="11" t="s">
        <v>214</v>
      </c>
      <c r="C84" s="12" t="str">
        <f>"玉名病院"</f>
        <v>玉名病院</v>
      </c>
      <c r="D84" s="12" t="str">
        <f>"865-0065"</f>
        <v>865-0065</v>
      </c>
      <c r="E84" s="12" t="s">
        <v>162</v>
      </c>
      <c r="F84" s="12" t="str">
        <f>"0968725155    "</f>
        <v xml:space="preserve">0968725155    </v>
      </c>
      <c r="G84" s="12" t="str">
        <f>"医療法人　信愛会"</f>
        <v>医療法人　信愛会</v>
      </c>
      <c r="H84" s="12" t="str">
        <f>"S57.01.20"</f>
        <v>S57.01.20</v>
      </c>
      <c r="I84" s="12" t="str">
        <f t="shared" si="11"/>
        <v>開設中</v>
      </c>
      <c r="J84" s="12">
        <v>175</v>
      </c>
      <c r="K84" s="12">
        <v>0</v>
      </c>
      <c r="L84" s="12">
        <v>0</v>
      </c>
      <c r="M84" s="12">
        <v>175</v>
      </c>
      <c r="N84" s="12">
        <v>0</v>
      </c>
      <c r="O84" s="12">
        <v>0</v>
      </c>
      <c r="P84" s="13"/>
      <c r="Q84" s="13"/>
      <c r="R84" s="13" t="s">
        <v>208</v>
      </c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6" t="s">
        <v>58</v>
      </c>
    </row>
    <row r="85" spans="1:54" ht="24.75" customHeight="1" x14ac:dyDescent="0.4">
      <c r="A85" s="14">
        <v>81</v>
      </c>
      <c r="B85" s="11" t="s">
        <v>214</v>
      </c>
      <c r="C85" s="12" t="str">
        <f>"悠紀会病院"</f>
        <v>悠紀会病院</v>
      </c>
      <c r="D85" s="12" t="str">
        <f>"865-0011"</f>
        <v>865-0011</v>
      </c>
      <c r="E85" s="12" t="s">
        <v>163</v>
      </c>
      <c r="F85" s="12" t="str">
        <f>"0968741131    "</f>
        <v xml:space="preserve">0968741131    </v>
      </c>
      <c r="G85" s="12" t="str">
        <f>"医療法人　悠紀会"</f>
        <v>医療法人　悠紀会</v>
      </c>
      <c r="H85" s="12" t="str">
        <f>"H03.06.01"</f>
        <v>H03.06.01</v>
      </c>
      <c r="I85" s="12" t="str">
        <f t="shared" si="11"/>
        <v>開設中</v>
      </c>
      <c r="J85" s="12">
        <v>139</v>
      </c>
      <c r="K85" s="12">
        <v>0</v>
      </c>
      <c r="L85" s="12">
        <v>139</v>
      </c>
      <c r="M85" s="12">
        <v>0</v>
      </c>
      <c r="N85" s="12">
        <v>0</v>
      </c>
      <c r="O85" s="12">
        <v>0</v>
      </c>
      <c r="P85" s="13" t="s">
        <v>208</v>
      </c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 t="s">
        <v>208</v>
      </c>
      <c r="AV85" s="13"/>
      <c r="AW85" s="13" t="s">
        <v>208</v>
      </c>
      <c r="AX85" s="13"/>
      <c r="AY85" s="13"/>
      <c r="AZ85" s="13"/>
      <c r="BA85" s="13"/>
      <c r="BB85" s="16" t="s">
        <v>216</v>
      </c>
    </row>
    <row r="86" spans="1:54" ht="24.75" customHeight="1" x14ac:dyDescent="0.4">
      <c r="A86" s="14">
        <v>82</v>
      </c>
      <c r="B86" s="11" t="s">
        <v>214</v>
      </c>
      <c r="C86" s="12" t="str">
        <f>"国民健康保険　和水町立病院"</f>
        <v>国民健康保険　和水町立病院</v>
      </c>
      <c r="D86" s="12" t="str">
        <f>"865-0136"</f>
        <v>865-0136</v>
      </c>
      <c r="E86" s="12" t="s">
        <v>164</v>
      </c>
      <c r="F86" s="12" t="str">
        <f>"0968863105    "</f>
        <v xml:space="preserve">0968863105    </v>
      </c>
      <c r="G86" s="12" t="str">
        <f>"和水町"</f>
        <v>和水町</v>
      </c>
      <c r="H86" s="12" t="str">
        <f>"H18.03.01"</f>
        <v>H18.03.01</v>
      </c>
      <c r="I86" s="12" t="str">
        <f t="shared" si="11"/>
        <v>開設中</v>
      </c>
      <c r="J86" s="12">
        <v>91</v>
      </c>
      <c r="K86" s="12">
        <v>49</v>
      </c>
      <c r="L86" s="12">
        <v>42</v>
      </c>
      <c r="M86" s="12">
        <v>0</v>
      </c>
      <c r="N86" s="12">
        <v>0</v>
      </c>
      <c r="O86" s="12">
        <v>0</v>
      </c>
      <c r="P86" s="13" t="s">
        <v>208</v>
      </c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 t="s">
        <v>208</v>
      </c>
      <c r="AB86" s="13" t="s">
        <v>208</v>
      </c>
      <c r="AC86" s="13" t="s">
        <v>208</v>
      </c>
      <c r="AD86" s="13"/>
      <c r="AE86" s="13"/>
      <c r="AF86" s="13" t="s">
        <v>208</v>
      </c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 t="s">
        <v>208</v>
      </c>
      <c r="AV86" s="13" t="s">
        <v>208</v>
      </c>
      <c r="AW86" s="13"/>
      <c r="AX86" s="13"/>
      <c r="AY86" s="13"/>
      <c r="AZ86" s="13"/>
      <c r="BA86" s="13"/>
      <c r="BB86" s="16"/>
    </row>
    <row r="87" spans="1:54" ht="24.75" customHeight="1" x14ac:dyDescent="0.4">
      <c r="A87" s="14">
        <v>83</v>
      </c>
      <c r="B87" s="11" t="s">
        <v>214</v>
      </c>
      <c r="C87" s="12" t="str">
        <f>"くまもと県北病院"</f>
        <v>くまもと県北病院</v>
      </c>
      <c r="D87" s="12" t="str">
        <f>"865-0005"</f>
        <v>865-0005</v>
      </c>
      <c r="E87" s="12" t="s">
        <v>165</v>
      </c>
      <c r="F87" s="12" t="str">
        <f>"0968735000    "</f>
        <v xml:space="preserve">0968735000    </v>
      </c>
      <c r="G87" s="12" t="str">
        <f>"地方独立行政法人　くまもと県北病院"</f>
        <v>地方独立行政法人　くまもと県北病院</v>
      </c>
      <c r="H87" s="12" t="str">
        <f>"R03.03.01"</f>
        <v>R03.03.01</v>
      </c>
      <c r="I87" s="12" t="str">
        <f t="shared" si="11"/>
        <v>開設中</v>
      </c>
      <c r="J87" s="12">
        <v>402</v>
      </c>
      <c r="K87" s="12">
        <v>402</v>
      </c>
      <c r="L87" s="12">
        <v>0</v>
      </c>
      <c r="M87" s="12">
        <v>0</v>
      </c>
      <c r="N87" s="12">
        <v>0</v>
      </c>
      <c r="O87" s="12">
        <v>0</v>
      </c>
      <c r="P87" s="13" t="s">
        <v>208</v>
      </c>
      <c r="Q87" s="13"/>
      <c r="R87" s="13" t="s">
        <v>208</v>
      </c>
      <c r="S87" s="13"/>
      <c r="T87" s="13"/>
      <c r="U87" s="13"/>
      <c r="V87" s="13"/>
      <c r="W87" s="13"/>
      <c r="X87" s="13"/>
      <c r="Y87" s="13" t="s">
        <v>208</v>
      </c>
      <c r="Z87" s="13"/>
      <c r="AA87" s="13" t="s">
        <v>208</v>
      </c>
      <c r="AB87" s="13" t="s">
        <v>208</v>
      </c>
      <c r="AC87" s="13" t="s">
        <v>208</v>
      </c>
      <c r="AD87" s="13"/>
      <c r="AE87" s="13"/>
      <c r="AF87" s="13" t="s">
        <v>208</v>
      </c>
      <c r="AG87" s="13" t="s">
        <v>208</v>
      </c>
      <c r="AH87" s="13"/>
      <c r="AI87" s="13"/>
      <c r="AJ87" s="13"/>
      <c r="AK87" s="13"/>
      <c r="AL87" s="13"/>
      <c r="AM87" s="13" t="s">
        <v>208</v>
      </c>
      <c r="AN87" s="13" t="s">
        <v>208</v>
      </c>
      <c r="AO87" s="13"/>
      <c r="AP87" s="13"/>
      <c r="AQ87" s="13" t="s">
        <v>208</v>
      </c>
      <c r="AR87" s="13" t="s">
        <v>208</v>
      </c>
      <c r="AS87" s="13" t="s">
        <v>208</v>
      </c>
      <c r="AT87" s="13"/>
      <c r="AU87" s="13" t="s">
        <v>208</v>
      </c>
      <c r="AV87" s="13" t="s">
        <v>208</v>
      </c>
      <c r="AW87" s="13"/>
      <c r="AX87" s="13"/>
      <c r="AY87" s="13"/>
      <c r="AZ87" s="13" t="s">
        <v>208</v>
      </c>
      <c r="BA87" s="13" t="s">
        <v>208</v>
      </c>
      <c r="BB87" s="16" t="s">
        <v>217</v>
      </c>
    </row>
    <row r="88" spans="1:54" ht="24.75" customHeight="1" x14ac:dyDescent="0.4">
      <c r="A88" s="14">
        <v>84</v>
      </c>
      <c r="B88" s="13" t="str">
        <f t="shared" ref="B88:B97" si="12">"宇城"</f>
        <v>宇城</v>
      </c>
      <c r="C88" s="12" t="str">
        <f>"熊本県こども総合療育センター"</f>
        <v>熊本県こども総合療育センター</v>
      </c>
      <c r="D88" s="12" t="str">
        <f>"869-0524"</f>
        <v>869-0524</v>
      </c>
      <c r="E88" s="12" t="s">
        <v>167</v>
      </c>
      <c r="F88" s="12" t="str">
        <f>"0964321143    "</f>
        <v xml:space="preserve">0964321143    </v>
      </c>
      <c r="G88" s="12" t="str">
        <f>"熊本県"</f>
        <v>熊本県</v>
      </c>
      <c r="H88" s="12" t="str">
        <f>"S47.08.15"</f>
        <v>S47.08.15</v>
      </c>
      <c r="I88" s="12" t="str">
        <f t="shared" si="11"/>
        <v>開設中</v>
      </c>
      <c r="J88" s="12">
        <v>60</v>
      </c>
      <c r="K88" s="12">
        <v>60</v>
      </c>
      <c r="L88" s="12">
        <v>0</v>
      </c>
      <c r="M88" s="12">
        <v>0</v>
      </c>
      <c r="N88" s="12">
        <v>0</v>
      </c>
      <c r="O88" s="12">
        <v>0</v>
      </c>
      <c r="P88" s="13"/>
      <c r="Q88" s="13"/>
      <c r="R88" s="13" t="s">
        <v>208</v>
      </c>
      <c r="S88" s="13"/>
      <c r="T88" s="13"/>
      <c r="U88" s="13"/>
      <c r="V88" s="13"/>
      <c r="W88" s="13"/>
      <c r="X88" s="13"/>
      <c r="Y88" s="13"/>
      <c r="Z88" s="13"/>
      <c r="AA88" s="13" t="s">
        <v>208</v>
      </c>
      <c r="AB88" s="13"/>
      <c r="AC88" s="13" t="s">
        <v>208</v>
      </c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 t="s">
        <v>208</v>
      </c>
      <c r="AO88" s="13"/>
      <c r="AP88" s="13"/>
      <c r="AQ88" s="13"/>
      <c r="AR88" s="13"/>
      <c r="AS88" s="13"/>
      <c r="AT88" s="13"/>
      <c r="AU88" s="13" t="s">
        <v>208</v>
      </c>
      <c r="AV88" s="13"/>
      <c r="AW88" s="13" t="s">
        <v>208</v>
      </c>
      <c r="AX88" s="13"/>
      <c r="AY88" s="13"/>
      <c r="AZ88" s="13"/>
      <c r="BA88" s="13"/>
      <c r="BB88" s="16"/>
    </row>
    <row r="89" spans="1:54" ht="24.75" customHeight="1" x14ac:dyDescent="0.4">
      <c r="A89" s="14">
        <v>85</v>
      </c>
      <c r="B89" s="13" t="str">
        <f t="shared" si="12"/>
        <v>宇城</v>
      </c>
      <c r="C89" s="12" t="str">
        <f>"くまもと心療病院"</f>
        <v>くまもと心療病院</v>
      </c>
      <c r="D89" s="12" t="str">
        <f>"869-0416"</f>
        <v>869-0416</v>
      </c>
      <c r="E89" s="12" t="s">
        <v>168</v>
      </c>
      <c r="F89" s="12" t="str">
        <f>"0964221081    "</f>
        <v xml:space="preserve">0964221081    </v>
      </c>
      <c r="G89" s="12" t="str">
        <f>"医療法人　再生会"</f>
        <v>医療法人　再生会</v>
      </c>
      <c r="H89" s="12" t="str">
        <f>"S36.08.01"</f>
        <v>S36.08.01</v>
      </c>
      <c r="I89" s="12" t="str">
        <f t="shared" si="11"/>
        <v>開設中</v>
      </c>
      <c r="J89" s="12">
        <v>282</v>
      </c>
      <c r="K89" s="12">
        <v>0</v>
      </c>
      <c r="L89" s="12">
        <v>0</v>
      </c>
      <c r="M89" s="12">
        <v>282</v>
      </c>
      <c r="N89" s="12">
        <v>0</v>
      </c>
      <c r="O89" s="12">
        <v>0</v>
      </c>
      <c r="P89" s="13"/>
      <c r="Q89" s="13"/>
      <c r="R89" s="13" t="s">
        <v>208</v>
      </c>
      <c r="S89" s="13" t="s">
        <v>208</v>
      </c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6"/>
    </row>
    <row r="90" spans="1:54" ht="24.75" customHeight="1" x14ac:dyDescent="0.4">
      <c r="A90" s="14">
        <v>86</v>
      </c>
      <c r="B90" s="13" t="str">
        <f t="shared" si="12"/>
        <v>宇城</v>
      </c>
      <c r="C90" s="12" t="str">
        <f>"国立病院機構　熊本南病院"</f>
        <v>国立病院機構　熊本南病院</v>
      </c>
      <c r="D90" s="12" t="str">
        <f>"869-0524"</f>
        <v>869-0524</v>
      </c>
      <c r="E90" s="12" t="s">
        <v>169</v>
      </c>
      <c r="F90" s="12" t="str">
        <f>"0964320826    "</f>
        <v xml:space="preserve">0964320826    </v>
      </c>
      <c r="G90" s="12" t="str">
        <f>"独立行政法人国立病院機構熊本南病院"</f>
        <v>独立行政法人国立病院機構熊本南病院</v>
      </c>
      <c r="H90" s="12" t="str">
        <f>"S22.04.01"</f>
        <v>S22.04.01</v>
      </c>
      <c r="I90" s="12" t="str">
        <f t="shared" si="11"/>
        <v>開設中</v>
      </c>
      <c r="J90" s="12">
        <v>172</v>
      </c>
      <c r="K90" s="12">
        <v>150</v>
      </c>
      <c r="L90" s="12">
        <v>0</v>
      </c>
      <c r="M90" s="12">
        <v>0</v>
      </c>
      <c r="N90" s="12">
        <v>22</v>
      </c>
      <c r="O90" s="12">
        <v>0</v>
      </c>
      <c r="P90" s="13" t="s">
        <v>208</v>
      </c>
      <c r="Q90" s="13"/>
      <c r="R90" s="13"/>
      <c r="S90" s="13"/>
      <c r="T90" s="13"/>
      <c r="U90" s="13"/>
      <c r="V90" s="13"/>
      <c r="W90" s="13"/>
      <c r="X90" s="13"/>
      <c r="Y90" s="13"/>
      <c r="Z90" s="13" t="s">
        <v>208</v>
      </c>
      <c r="AA90" s="13"/>
      <c r="AB90" s="13" t="s">
        <v>208</v>
      </c>
      <c r="AC90" s="13"/>
      <c r="AD90" s="13"/>
      <c r="AE90" s="13"/>
      <c r="AF90" s="13"/>
      <c r="AG90" s="13" t="s">
        <v>208</v>
      </c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 t="s">
        <v>208</v>
      </c>
      <c r="AV90" s="13" t="s">
        <v>208</v>
      </c>
      <c r="AW90" s="13"/>
      <c r="AX90" s="13"/>
      <c r="AY90" s="13"/>
      <c r="AZ90" s="13"/>
      <c r="BA90" s="13" t="s">
        <v>208</v>
      </c>
      <c r="BB90" s="16" t="s">
        <v>75</v>
      </c>
    </row>
    <row r="91" spans="1:54" ht="24.75" customHeight="1" x14ac:dyDescent="0.4">
      <c r="A91" s="14">
        <v>87</v>
      </c>
      <c r="B91" s="13" t="str">
        <f t="shared" si="12"/>
        <v>宇城</v>
      </c>
      <c r="C91" s="12" t="str">
        <f>"済生会みすみ病院"</f>
        <v>済生会みすみ病院</v>
      </c>
      <c r="D91" s="12" t="str">
        <f>"869-3205"</f>
        <v>869-3205</v>
      </c>
      <c r="E91" s="12" t="s">
        <v>170</v>
      </c>
      <c r="F91" s="12" t="str">
        <f>"0964531611    "</f>
        <v xml:space="preserve">0964531611    </v>
      </c>
      <c r="G91" s="12" t="str">
        <f>"社会福祉法人　恩賜財団済生会"</f>
        <v>社会福祉法人　恩賜財団済生会</v>
      </c>
      <c r="H91" s="12" t="str">
        <f>"H15.03.01"</f>
        <v>H15.03.01</v>
      </c>
      <c r="I91" s="12" t="str">
        <f t="shared" si="11"/>
        <v>開設中</v>
      </c>
      <c r="J91" s="12">
        <v>120</v>
      </c>
      <c r="K91" s="12">
        <v>120</v>
      </c>
      <c r="L91" s="12">
        <v>0</v>
      </c>
      <c r="M91" s="12">
        <v>0</v>
      </c>
      <c r="N91" s="12">
        <v>0</v>
      </c>
      <c r="O91" s="12">
        <v>0</v>
      </c>
      <c r="P91" s="13" t="s">
        <v>208</v>
      </c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 t="s">
        <v>208</v>
      </c>
      <c r="AC91" s="13" t="s">
        <v>208</v>
      </c>
      <c r="AD91" s="13"/>
      <c r="AE91" s="13"/>
      <c r="AF91" s="13" t="s">
        <v>208</v>
      </c>
      <c r="AG91" s="13" t="s">
        <v>219</v>
      </c>
      <c r="AH91" s="13" t="s">
        <v>208</v>
      </c>
      <c r="AI91" s="13"/>
      <c r="AJ91" s="13"/>
      <c r="AK91" s="13"/>
      <c r="AL91" s="13"/>
      <c r="AM91" s="13"/>
      <c r="AN91" s="13" t="s">
        <v>208</v>
      </c>
      <c r="AO91" s="13"/>
      <c r="AP91" s="13"/>
      <c r="AQ91" s="13"/>
      <c r="AR91" s="13"/>
      <c r="AS91" s="13"/>
      <c r="AT91" s="13"/>
      <c r="AU91" s="13" t="s">
        <v>208</v>
      </c>
      <c r="AV91" s="13" t="s">
        <v>215</v>
      </c>
      <c r="AW91" s="13"/>
      <c r="AX91" s="13"/>
      <c r="AY91" s="13"/>
      <c r="AZ91" s="13"/>
      <c r="BA91" s="13" t="s">
        <v>208</v>
      </c>
      <c r="BB91" s="16" t="s">
        <v>76</v>
      </c>
    </row>
    <row r="92" spans="1:54" ht="24.75" customHeight="1" x14ac:dyDescent="0.4">
      <c r="A92" s="14">
        <v>88</v>
      </c>
      <c r="B92" s="13" t="str">
        <f t="shared" si="12"/>
        <v>宇城</v>
      </c>
      <c r="C92" s="12" t="str">
        <f>"くまもと温石病院"</f>
        <v>くまもと温石病院</v>
      </c>
      <c r="D92" s="12" t="str">
        <f>"861-4407"</f>
        <v>861-4407</v>
      </c>
      <c r="E92" s="12" t="s">
        <v>171</v>
      </c>
      <c r="F92" s="12" t="str">
        <f>"0964463000    "</f>
        <v xml:space="preserve">0964463000    </v>
      </c>
      <c r="G92" s="12" t="str">
        <f>"医療法人　愛生会"</f>
        <v>医療法人　愛生会</v>
      </c>
      <c r="H92" s="12" t="str">
        <f>"S55.12.01"</f>
        <v>S55.12.01</v>
      </c>
      <c r="I92" s="12" t="str">
        <f t="shared" si="11"/>
        <v>開設中</v>
      </c>
      <c r="J92" s="12">
        <v>103</v>
      </c>
      <c r="K92" s="12">
        <v>51</v>
      </c>
      <c r="L92" s="12">
        <v>52</v>
      </c>
      <c r="M92" s="12">
        <v>0</v>
      </c>
      <c r="N92" s="12">
        <v>0</v>
      </c>
      <c r="O92" s="12">
        <v>0</v>
      </c>
      <c r="P92" s="13" t="s">
        <v>208</v>
      </c>
      <c r="Q92" s="13"/>
      <c r="R92" s="13"/>
      <c r="S92" s="13"/>
      <c r="T92" s="13" t="s">
        <v>208</v>
      </c>
      <c r="U92" s="13"/>
      <c r="V92" s="13"/>
      <c r="W92" s="13"/>
      <c r="X92" s="13"/>
      <c r="Y92" s="13"/>
      <c r="Z92" s="13"/>
      <c r="AA92" s="13"/>
      <c r="AB92" s="13"/>
      <c r="AC92" s="13" t="s">
        <v>208</v>
      </c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 t="s">
        <v>208</v>
      </c>
      <c r="AV92" s="13"/>
      <c r="AW92" s="13"/>
      <c r="AX92" s="13"/>
      <c r="AY92" s="13"/>
      <c r="AZ92" s="13"/>
      <c r="BA92" s="13"/>
      <c r="BB92" s="16" t="s">
        <v>77</v>
      </c>
    </row>
    <row r="93" spans="1:54" ht="24.75" customHeight="1" x14ac:dyDescent="0.4">
      <c r="A93" s="14">
        <v>89</v>
      </c>
      <c r="B93" s="13" t="str">
        <f t="shared" si="12"/>
        <v>宇城</v>
      </c>
      <c r="C93" s="12" t="str">
        <f>"松田病院"</f>
        <v>松田病院</v>
      </c>
      <c r="D93" s="12" t="str">
        <f>"869-0542"</f>
        <v>869-0542</v>
      </c>
      <c r="E93" s="12" t="s">
        <v>172</v>
      </c>
      <c r="F93" s="12" t="str">
        <f>"0964320666    "</f>
        <v xml:space="preserve">0964320666    </v>
      </c>
      <c r="G93" s="12" t="str">
        <f>"医療法人　松生会"</f>
        <v>医療法人　松生会</v>
      </c>
      <c r="H93" s="12" t="str">
        <f>"S39.09.15"</f>
        <v>S39.09.15</v>
      </c>
      <c r="I93" s="12" t="str">
        <f t="shared" si="11"/>
        <v>開設中</v>
      </c>
      <c r="J93" s="12">
        <v>180</v>
      </c>
      <c r="K93" s="12">
        <v>0</v>
      </c>
      <c r="L93" s="12">
        <v>0</v>
      </c>
      <c r="M93" s="12">
        <v>180</v>
      </c>
      <c r="N93" s="12">
        <v>0</v>
      </c>
      <c r="O93" s="12">
        <v>0</v>
      </c>
      <c r="P93" s="13"/>
      <c r="Q93" s="13" t="s">
        <v>208</v>
      </c>
      <c r="R93" s="13" t="s">
        <v>208</v>
      </c>
      <c r="S93" s="13" t="s">
        <v>208</v>
      </c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6"/>
    </row>
    <row r="94" spans="1:54" ht="24.75" customHeight="1" x14ac:dyDescent="0.4">
      <c r="A94" s="14">
        <v>90</v>
      </c>
      <c r="B94" s="13" t="str">
        <f t="shared" si="12"/>
        <v>宇城</v>
      </c>
      <c r="C94" s="12" t="str">
        <f>"あおば病院"</f>
        <v>あおば病院</v>
      </c>
      <c r="D94" s="12" t="str">
        <f>"869-0513"</f>
        <v>869-0513</v>
      </c>
      <c r="E94" s="12" t="s">
        <v>173</v>
      </c>
      <c r="F94" s="12" t="str">
        <f>"0964327772    "</f>
        <v xml:space="preserve">0964327772    </v>
      </c>
      <c r="G94" s="12" t="str">
        <f>"医療法人社団　明心会"</f>
        <v>医療法人社団　明心会</v>
      </c>
      <c r="H94" s="12" t="str">
        <f>"H17.11.01"</f>
        <v>H17.11.01</v>
      </c>
      <c r="I94" s="12" t="str">
        <f t="shared" si="11"/>
        <v>開設中</v>
      </c>
      <c r="J94" s="12">
        <v>178</v>
      </c>
      <c r="K94" s="12">
        <v>0</v>
      </c>
      <c r="L94" s="12">
        <v>33</v>
      </c>
      <c r="M94" s="12">
        <v>145</v>
      </c>
      <c r="N94" s="12">
        <v>0</v>
      </c>
      <c r="O94" s="12">
        <v>0</v>
      </c>
      <c r="P94" s="13"/>
      <c r="Q94" s="13" t="s">
        <v>208</v>
      </c>
      <c r="R94" s="13" t="s">
        <v>208</v>
      </c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6"/>
    </row>
    <row r="95" spans="1:54" ht="24.75" customHeight="1" x14ac:dyDescent="0.4">
      <c r="A95" s="14">
        <v>91</v>
      </c>
      <c r="B95" s="13" t="str">
        <f t="shared" si="12"/>
        <v>宇城</v>
      </c>
      <c r="C95" s="12" t="str">
        <f>"間部病院"</f>
        <v>間部病院</v>
      </c>
      <c r="D95" s="12" t="str">
        <f>"861-4722"</f>
        <v>861-4722</v>
      </c>
      <c r="E95" s="12" t="s">
        <v>174</v>
      </c>
      <c r="F95" s="12" t="str">
        <f>"0964470032    "</f>
        <v xml:space="preserve">0964470032    </v>
      </c>
      <c r="G95" s="12" t="str">
        <f>"医療法人　美里みどり会"</f>
        <v>医療法人　美里みどり会</v>
      </c>
      <c r="H95" s="12" t="str">
        <f>"H19.04.01"</f>
        <v>H19.04.01</v>
      </c>
      <c r="I95" s="12" t="str">
        <f t="shared" si="11"/>
        <v>開設中</v>
      </c>
      <c r="J95" s="12">
        <v>35</v>
      </c>
      <c r="K95" s="12">
        <v>35</v>
      </c>
      <c r="L95" s="12">
        <v>0</v>
      </c>
      <c r="M95" s="12">
        <v>0</v>
      </c>
      <c r="N95" s="12">
        <v>0</v>
      </c>
      <c r="O95" s="12">
        <v>0</v>
      </c>
      <c r="P95" s="13" t="s">
        <v>208</v>
      </c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 t="s">
        <v>208</v>
      </c>
      <c r="AB95" s="13" t="s">
        <v>208</v>
      </c>
      <c r="AC95" s="13" t="s">
        <v>208</v>
      </c>
      <c r="AD95" s="13"/>
      <c r="AE95" s="13"/>
      <c r="AF95" s="13"/>
      <c r="AG95" s="13"/>
      <c r="AH95" s="13"/>
      <c r="AI95" s="13"/>
      <c r="AJ95" s="13"/>
      <c r="AK95" s="13"/>
      <c r="AL95" s="13"/>
      <c r="AM95" s="13" t="s">
        <v>208</v>
      </c>
      <c r="AN95" s="13"/>
      <c r="AO95" s="13"/>
      <c r="AP95" s="13"/>
      <c r="AQ95" s="13" t="s">
        <v>208</v>
      </c>
      <c r="AR95" s="13"/>
      <c r="AS95" s="13" t="s">
        <v>208</v>
      </c>
      <c r="AT95" s="13"/>
      <c r="AU95" s="13" t="s">
        <v>208</v>
      </c>
      <c r="AV95" s="13"/>
      <c r="AW95" s="13"/>
      <c r="AX95" s="13"/>
      <c r="AY95" s="13"/>
      <c r="AZ95" s="13"/>
      <c r="BA95" s="13"/>
      <c r="BB95" s="16" t="s">
        <v>78</v>
      </c>
    </row>
    <row r="96" spans="1:54" ht="24.75" customHeight="1" x14ac:dyDescent="0.4">
      <c r="A96" s="14">
        <v>92</v>
      </c>
      <c r="B96" s="13" t="str">
        <f t="shared" si="12"/>
        <v>宇城</v>
      </c>
      <c r="C96" s="12" t="str">
        <f>"宇城総合病院"</f>
        <v>宇城総合病院</v>
      </c>
      <c r="D96" s="12" t="str">
        <f>"869-0532"</f>
        <v>869-0532</v>
      </c>
      <c r="E96" s="12" t="s">
        <v>175</v>
      </c>
      <c r="F96" s="12" t="str">
        <f>"0964323111    "</f>
        <v xml:space="preserve">0964323111    </v>
      </c>
      <c r="G96" s="12" t="str">
        <f>"社会医療法人黎明会"</f>
        <v>社会医療法人黎明会</v>
      </c>
      <c r="H96" s="12" t="str">
        <f>"H24.09.29"</f>
        <v>H24.09.29</v>
      </c>
      <c r="I96" s="12" t="str">
        <f t="shared" si="11"/>
        <v>開設中</v>
      </c>
      <c r="J96" s="12">
        <v>204</v>
      </c>
      <c r="K96" s="12">
        <v>200</v>
      </c>
      <c r="L96" s="12">
        <v>0</v>
      </c>
      <c r="M96" s="12">
        <v>0</v>
      </c>
      <c r="N96" s="12">
        <v>0</v>
      </c>
      <c r="O96" s="12">
        <v>4</v>
      </c>
      <c r="P96" s="13" t="s">
        <v>208</v>
      </c>
      <c r="Q96" s="13"/>
      <c r="R96" s="13"/>
      <c r="S96" s="13"/>
      <c r="T96" s="13"/>
      <c r="U96" s="13"/>
      <c r="V96" s="13"/>
      <c r="W96" s="13"/>
      <c r="X96" s="13"/>
      <c r="Y96" s="13"/>
      <c r="Z96" s="13" t="s">
        <v>208</v>
      </c>
      <c r="AA96" s="13"/>
      <c r="AB96" s="13" t="s">
        <v>208</v>
      </c>
      <c r="AC96" s="13" t="s">
        <v>208</v>
      </c>
      <c r="AD96" s="13"/>
      <c r="AE96" s="13"/>
      <c r="AF96" s="13"/>
      <c r="AG96" s="13" t="s">
        <v>208</v>
      </c>
      <c r="AH96" s="13" t="s">
        <v>208</v>
      </c>
      <c r="AI96" s="13"/>
      <c r="AJ96" s="13"/>
      <c r="AK96" s="13"/>
      <c r="AL96" s="13"/>
      <c r="AM96" s="13"/>
      <c r="AN96" s="13" t="s">
        <v>208</v>
      </c>
      <c r="AO96" s="13"/>
      <c r="AP96" s="13"/>
      <c r="AQ96" s="13"/>
      <c r="AR96" s="13"/>
      <c r="AS96" s="13"/>
      <c r="AT96" s="13"/>
      <c r="AU96" s="13" t="s">
        <v>208</v>
      </c>
      <c r="AV96" s="13" t="s">
        <v>208</v>
      </c>
      <c r="AW96" s="13"/>
      <c r="AX96" s="13"/>
      <c r="AY96" s="13"/>
      <c r="AZ96" s="13"/>
      <c r="BA96" s="13" t="s">
        <v>208</v>
      </c>
      <c r="BB96" s="16" t="s">
        <v>220</v>
      </c>
    </row>
    <row r="97" spans="1:54" ht="24.75" customHeight="1" x14ac:dyDescent="0.4">
      <c r="A97" s="14">
        <v>93</v>
      </c>
      <c r="B97" s="13" t="str">
        <f t="shared" si="12"/>
        <v>宇城</v>
      </c>
      <c r="C97" s="12" t="str">
        <f>"桜十字熊本宇城病院"</f>
        <v>桜十字熊本宇城病院</v>
      </c>
      <c r="D97" s="12" t="str">
        <f>"869-0631"</f>
        <v>869-0631</v>
      </c>
      <c r="E97" s="12" t="s">
        <v>166</v>
      </c>
      <c r="F97" s="12" t="str">
        <f>"0964431155    "</f>
        <v xml:space="preserve">0964431155    </v>
      </c>
      <c r="G97" s="12" t="str">
        <f>"医療法人　熊本桜十字"</f>
        <v>医療法人　熊本桜十字</v>
      </c>
      <c r="H97" s="12" t="str">
        <f>"R01.08.01"</f>
        <v>R01.08.01</v>
      </c>
      <c r="I97" s="12" t="str">
        <f t="shared" ref="I97:I104" si="13">"開設中"</f>
        <v>開設中</v>
      </c>
      <c r="J97" s="12">
        <v>199</v>
      </c>
      <c r="K97" s="12">
        <v>99</v>
      </c>
      <c r="L97" s="12">
        <v>100</v>
      </c>
      <c r="M97" s="12">
        <v>0</v>
      </c>
      <c r="N97" s="12">
        <v>0</v>
      </c>
      <c r="O97" s="12">
        <v>0</v>
      </c>
      <c r="P97" s="13" t="s">
        <v>208</v>
      </c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 t="s">
        <v>208</v>
      </c>
      <c r="AV97" s="13" t="s">
        <v>208</v>
      </c>
      <c r="AW97" s="13"/>
      <c r="AX97" s="13"/>
      <c r="AY97" s="13"/>
      <c r="AZ97" s="13"/>
      <c r="BA97" s="13"/>
      <c r="BB97" s="16" t="s">
        <v>79</v>
      </c>
    </row>
    <row r="98" spans="1:54" ht="24.75" customHeight="1" x14ac:dyDescent="0.4">
      <c r="A98" s="14">
        <v>94</v>
      </c>
      <c r="B98" s="13" t="str">
        <f t="shared" ref="B98:B115" si="14">"天草"</f>
        <v>天草</v>
      </c>
      <c r="C98" s="12" t="str">
        <f>"天草厚生病院"</f>
        <v>天草厚生病院</v>
      </c>
      <c r="D98" s="12" t="str">
        <f>"861-7313"</f>
        <v>861-7313</v>
      </c>
      <c r="E98" s="12" t="s">
        <v>176</v>
      </c>
      <c r="F98" s="12" t="str">
        <f>"0969256111    "</f>
        <v xml:space="preserve">0969256111    </v>
      </c>
      <c r="G98" s="12" t="str">
        <f>"医療法人社団　平成会"</f>
        <v>医療法人社団　平成会</v>
      </c>
      <c r="H98" s="12" t="str">
        <f>"H15.02.01"</f>
        <v>H15.02.01</v>
      </c>
      <c r="I98" s="12" t="str">
        <f t="shared" si="13"/>
        <v>開設中</v>
      </c>
      <c r="J98" s="12">
        <v>180</v>
      </c>
      <c r="K98" s="12">
        <v>0</v>
      </c>
      <c r="L98" s="12">
        <v>180</v>
      </c>
      <c r="M98" s="12">
        <v>0</v>
      </c>
      <c r="N98" s="12">
        <v>0</v>
      </c>
      <c r="O98" s="12">
        <v>0</v>
      </c>
      <c r="P98" s="13" t="s">
        <v>208</v>
      </c>
      <c r="Q98" s="13"/>
      <c r="R98" s="13"/>
      <c r="S98" s="13"/>
      <c r="T98" s="13"/>
      <c r="U98" s="13"/>
      <c r="V98" s="13"/>
      <c r="W98" s="13"/>
      <c r="X98" s="13" t="s">
        <v>208</v>
      </c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 t="s">
        <v>208</v>
      </c>
      <c r="AV98" s="13" t="s">
        <v>208</v>
      </c>
      <c r="AW98" s="13"/>
      <c r="AX98" s="13"/>
      <c r="AY98" s="13"/>
      <c r="AZ98" s="13"/>
      <c r="BA98" s="13"/>
      <c r="BB98" s="16"/>
    </row>
    <row r="99" spans="1:54" ht="24.75" customHeight="1" x14ac:dyDescent="0.4">
      <c r="A99" s="14">
        <v>95</v>
      </c>
      <c r="B99" s="13" t="str">
        <f t="shared" si="14"/>
        <v>天草</v>
      </c>
      <c r="C99" s="12" t="str">
        <f>"天草慈恵病院"</f>
        <v>天草慈恵病院</v>
      </c>
      <c r="D99" s="12" t="str">
        <f>"863-2502"</f>
        <v>863-2502</v>
      </c>
      <c r="E99" s="12" t="s">
        <v>177</v>
      </c>
      <c r="F99" s="12" t="str">
        <f>"0969371111    "</f>
        <v xml:space="preserve">0969371111    </v>
      </c>
      <c r="G99" s="12" t="str">
        <f>"社会医療法人　稲穂会"</f>
        <v>社会医療法人　稲穂会</v>
      </c>
      <c r="H99" s="12" t="str">
        <f>"H01.02.01"</f>
        <v>H01.02.01</v>
      </c>
      <c r="I99" s="12" t="str">
        <f t="shared" si="13"/>
        <v>開設中</v>
      </c>
      <c r="J99" s="12">
        <v>120</v>
      </c>
      <c r="K99" s="12">
        <v>42</v>
      </c>
      <c r="L99" s="12">
        <v>78</v>
      </c>
      <c r="M99" s="12">
        <v>0</v>
      </c>
      <c r="N99" s="12">
        <v>0</v>
      </c>
      <c r="O99" s="12">
        <v>0</v>
      </c>
      <c r="P99" s="13" t="s">
        <v>208</v>
      </c>
      <c r="Q99" s="13"/>
      <c r="R99" s="13" t="s">
        <v>208</v>
      </c>
      <c r="S99" s="13"/>
      <c r="T99" s="13" t="s">
        <v>221</v>
      </c>
      <c r="U99" s="13"/>
      <c r="V99" s="13"/>
      <c r="W99" s="13"/>
      <c r="X99" s="13"/>
      <c r="Y99" s="13"/>
      <c r="Z99" s="13"/>
      <c r="AA99" s="13" t="s">
        <v>208</v>
      </c>
      <c r="AB99" s="13" t="s">
        <v>208</v>
      </c>
      <c r="AC99" s="13" t="s">
        <v>208</v>
      </c>
      <c r="AD99" s="13"/>
      <c r="AE99" s="13"/>
      <c r="AF99" s="13"/>
      <c r="AG99" s="13"/>
      <c r="AH99" s="13"/>
      <c r="AI99" s="13"/>
      <c r="AJ99" s="13"/>
      <c r="AK99" s="13"/>
      <c r="AL99" s="13"/>
      <c r="AM99" s="13" t="s">
        <v>215</v>
      </c>
      <c r="AN99" s="13" t="s">
        <v>208</v>
      </c>
      <c r="AO99" s="13"/>
      <c r="AP99" s="13"/>
      <c r="AQ99" s="13"/>
      <c r="AR99" s="13" t="s">
        <v>208</v>
      </c>
      <c r="AS99" s="13" t="s">
        <v>208</v>
      </c>
      <c r="AT99" s="13"/>
      <c r="AU99" s="13" t="s">
        <v>208</v>
      </c>
      <c r="AV99" s="13"/>
      <c r="AW99" s="13"/>
      <c r="AX99" s="13"/>
      <c r="AY99" s="13"/>
      <c r="AZ99" s="13"/>
      <c r="BA99" s="13"/>
      <c r="BB99" s="16" t="s">
        <v>222</v>
      </c>
    </row>
    <row r="100" spans="1:54" ht="24.75" customHeight="1" x14ac:dyDescent="0.4">
      <c r="A100" s="14">
        <v>96</v>
      </c>
      <c r="B100" s="13" t="str">
        <f t="shared" si="14"/>
        <v>天草</v>
      </c>
      <c r="C100" s="12" t="str">
        <f>"天草セントラル病院"</f>
        <v>天草セントラル病院</v>
      </c>
      <c r="D100" s="12" t="str">
        <f>"863-2201"</f>
        <v>863-2201</v>
      </c>
      <c r="E100" s="12" t="s">
        <v>178</v>
      </c>
      <c r="F100" s="12" t="str">
        <f>"0969322111    "</f>
        <v xml:space="preserve">0969322111    </v>
      </c>
      <c r="G100" s="12" t="str">
        <f>"医療法人　一陽会"</f>
        <v>医療法人　一陽会</v>
      </c>
      <c r="H100" s="12" t="str">
        <f>"S57.12.01"</f>
        <v>S57.12.01</v>
      </c>
      <c r="I100" s="12" t="str">
        <f t="shared" si="13"/>
        <v>開設中</v>
      </c>
      <c r="J100" s="12">
        <v>302</v>
      </c>
      <c r="K100" s="12">
        <v>0</v>
      </c>
      <c r="L100" s="12">
        <v>302</v>
      </c>
      <c r="M100" s="12">
        <v>0</v>
      </c>
      <c r="N100" s="12">
        <v>0</v>
      </c>
      <c r="O100" s="12">
        <v>0</v>
      </c>
      <c r="P100" s="13" t="s">
        <v>208</v>
      </c>
      <c r="Q100" s="13"/>
      <c r="R100" s="13"/>
      <c r="S100" s="13"/>
      <c r="T100" s="13"/>
      <c r="U100" s="13" t="s">
        <v>208</v>
      </c>
      <c r="V100" s="13" t="s">
        <v>208</v>
      </c>
      <c r="W100" s="13"/>
      <c r="X100" s="13" t="s">
        <v>208</v>
      </c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 t="s">
        <v>208</v>
      </c>
      <c r="AV100" s="13" t="s">
        <v>208</v>
      </c>
      <c r="AW100" s="13"/>
      <c r="AX100" s="13"/>
      <c r="AY100" s="13"/>
      <c r="AZ100" s="13"/>
      <c r="BA100" s="13"/>
      <c r="BB100" s="16"/>
    </row>
    <row r="101" spans="1:54" ht="24.75" customHeight="1" x14ac:dyDescent="0.4">
      <c r="A101" s="14">
        <v>97</v>
      </c>
      <c r="B101" s="13" t="str">
        <f t="shared" si="14"/>
        <v>天草</v>
      </c>
      <c r="C101" s="12" t="str">
        <f>"天草第一病院"</f>
        <v>天草第一病院</v>
      </c>
      <c r="D101" s="12" t="str">
        <f>"863-0013"</f>
        <v>863-0013</v>
      </c>
      <c r="E101" s="12" t="s">
        <v>179</v>
      </c>
      <c r="F101" s="12" t="str">
        <f>"0969243777    "</f>
        <v xml:space="preserve">0969243777    </v>
      </c>
      <c r="G101" s="12" t="str">
        <f>"医療法人社団　永寿会"</f>
        <v>医療法人社団　永寿会</v>
      </c>
      <c r="H101" s="12" t="str">
        <f>"S59.05.01"</f>
        <v>S59.05.01</v>
      </c>
      <c r="I101" s="12" t="str">
        <f t="shared" si="13"/>
        <v>開設中</v>
      </c>
      <c r="J101" s="12">
        <v>128</v>
      </c>
      <c r="K101" s="12">
        <v>68</v>
      </c>
      <c r="L101" s="12">
        <v>60</v>
      </c>
      <c r="M101" s="12">
        <v>0</v>
      </c>
      <c r="N101" s="12">
        <v>0</v>
      </c>
      <c r="O101" s="12">
        <v>0</v>
      </c>
      <c r="P101" s="13" t="s">
        <v>208</v>
      </c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 t="s">
        <v>208</v>
      </c>
      <c r="AC101" s="13" t="s">
        <v>208</v>
      </c>
      <c r="AD101" s="13"/>
      <c r="AE101" s="13"/>
      <c r="AF101" s="13" t="s">
        <v>208</v>
      </c>
      <c r="AG101" s="13"/>
      <c r="AH101" s="13" t="s">
        <v>208</v>
      </c>
      <c r="AI101" s="13"/>
      <c r="AJ101" s="13"/>
      <c r="AK101" s="13"/>
      <c r="AL101" s="13"/>
      <c r="AM101" s="13"/>
      <c r="AN101" s="13" t="s">
        <v>208</v>
      </c>
      <c r="AO101" s="13"/>
      <c r="AP101" s="13"/>
      <c r="AQ101" s="13"/>
      <c r="AR101" s="13"/>
      <c r="AS101" s="13"/>
      <c r="AT101" s="13"/>
      <c r="AU101" s="13" t="s">
        <v>208</v>
      </c>
      <c r="AV101" s="13"/>
      <c r="AW101" s="13"/>
      <c r="AX101" s="13"/>
      <c r="AY101" s="13"/>
      <c r="AZ101" s="13"/>
      <c r="BA101" s="13"/>
      <c r="BB101" s="16" t="s">
        <v>80</v>
      </c>
    </row>
    <row r="102" spans="1:54" ht="24.75" customHeight="1" x14ac:dyDescent="0.4">
      <c r="A102" s="14">
        <v>98</v>
      </c>
      <c r="B102" s="13" t="str">
        <f t="shared" si="14"/>
        <v>天草</v>
      </c>
      <c r="C102" s="12" t="str">
        <f>"一般社団法人　天草郡市医師会立天草地域医療センター"</f>
        <v>一般社団法人　天草郡市医師会立天草地域医療センター</v>
      </c>
      <c r="D102" s="12" t="str">
        <f>"863-0046"</f>
        <v>863-0046</v>
      </c>
      <c r="E102" s="12" t="s">
        <v>180</v>
      </c>
      <c r="F102" s="12" t="str">
        <f>"0969244111    "</f>
        <v xml:space="preserve">0969244111    </v>
      </c>
      <c r="G102" s="12" t="str">
        <f>"一般社団法人　天草郡市医師会"</f>
        <v>一般社団法人　天草郡市医師会</v>
      </c>
      <c r="H102" s="12" t="str">
        <f>"H04.04.01"</f>
        <v>H04.04.01</v>
      </c>
      <c r="I102" s="12" t="str">
        <f t="shared" si="13"/>
        <v>開設中</v>
      </c>
      <c r="J102" s="12">
        <v>210</v>
      </c>
      <c r="K102" s="12">
        <v>210</v>
      </c>
      <c r="L102" s="12">
        <v>0</v>
      </c>
      <c r="M102" s="12">
        <v>0</v>
      </c>
      <c r="N102" s="12">
        <v>0</v>
      </c>
      <c r="O102" s="12">
        <v>0</v>
      </c>
      <c r="P102" s="13" t="s">
        <v>208</v>
      </c>
      <c r="Q102" s="13"/>
      <c r="R102" s="13"/>
      <c r="S102" s="13"/>
      <c r="T102" s="13" t="s">
        <v>208</v>
      </c>
      <c r="U102" s="13" t="s">
        <v>208</v>
      </c>
      <c r="V102" s="13" t="s">
        <v>208</v>
      </c>
      <c r="W102" s="13"/>
      <c r="X102" s="13" t="s">
        <v>208</v>
      </c>
      <c r="Y102" s="13"/>
      <c r="Z102" s="13" t="s">
        <v>208</v>
      </c>
      <c r="AA102" s="13" t="s">
        <v>208</v>
      </c>
      <c r="AB102" s="13" t="s">
        <v>208</v>
      </c>
      <c r="AC102" s="13" t="s">
        <v>208</v>
      </c>
      <c r="AD102" s="13"/>
      <c r="AE102" s="13"/>
      <c r="AF102" s="13" t="s">
        <v>208</v>
      </c>
      <c r="AG102" s="13"/>
      <c r="AH102" s="13"/>
      <c r="AI102" s="13"/>
      <c r="AJ102" s="13"/>
      <c r="AK102" s="13"/>
      <c r="AL102" s="13"/>
      <c r="AM102" s="13"/>
      <c r="AN102" s="13" t="s">
        <v>208</v>
      </c>
      <c r="AO102" s="13"/>
      <c r="AP102" s="13"/>
      <c r="AQ102" s="13"/>
      <c r="AR102" s="13"/>
      <c r="AS102" s="13"/>
      <c r="AT102" s="13"/>
      <c r="AU102" s="13" t="s">
        <v>208</v>
      </c>
      <c r="AV102" s="13" t="s">
        <v>208</v>
      </c>
      <c r="AW102" s="13"/>
      <c r="AX102" s="13"/>
      <c r="AY102" s="13"/>
      <c r="AZ102" s="13"/>
      <c r="BA102" s="13" t="s">
        <v>208</v>
      </c>
      <c r="BB102" s="16"/>
    </row>
    <row r="103" spans="1:54" ht="24.75" customHeight="1" x14ac:dyDescent="0.4">
      <c r="A103" s="14">
        <v>99</v>
      </c>
      <c r="B103" s="13" t="str">
        <f t="shared" si="14"/>
        <v>天草</v>
      </c>
      <c r="C103" s="12" t="str">
        <f>"独立行政法人地域医療機能推進機構　天草中央総合病院"</f>
        <v>独立行政法人地域医療機能推進機構　天草中央総合病院</v>
      </c>
      <c r="D103" s="12" t="str">
        <f>"863-0033"</f>
        <v>863-0033</v>
      </c>
      <c r="E103" s="12" t="s">
        <v>181</v>
      </c>
      <c r="F103" s="12" t="str">
        <f>"0969220011    "</f>
        <v xml:space="preserve">0969220011    </v>
      </c>
      <c r="G103" s="12" t="str">
        <f>"独立行政法人地域医療機能推進機構"</f>
        <v>独立行政法人地域医療機能推進機構</v>
      </c>
      <c r="H103" s="12" t="str">
        <f>"S46.11.01"</f>
        <v>S46.11.01</v>
      </c>
      <c r="I103" s="12" t="str">
        <f t="shared" si="13"/>
        <v>開設中</v>
      </c>
      <c r="J103" s="12">
        <v>155</v>
      </c>
      <c r="K103" s="12">
        <v>149</v>
      </c>
      <c r="L103" s="12">
        <v>0</v>
      </c>
      <c r="M103" s="12">
        <v>0</v>
      </c>
      <c r="N103" s="12">
        <v>2</v>
      </c>
      <c r="O103" s="12">
        <v>4</v>
      </c>
      <c r="P103" s="13" t="s">
        <v>208</v>
      </c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 t="s">
        <v>208</v>
      </c>
      <c r="AB103" s="13" t="s">
        <v>208</v>
      </c>
      <c r="AC103" s="13" t="s">
        <v>208</v>
      </c>
      <c r="AD103" s="13"/>
      <c r="AE103" s="13"/>
      <c r="AF103" s="13" t="s">
        <v>208</v>
      </c>
      <c r="AG103" s="13"/>
      <c r="AH103" s="13"/>
      <c r="AI103" s="13"/>
      <c r="AJ103" s="13"/>
      <c r="AK103" s="13"/>
      <c r="AL103" s="13"/>
      <c r="AM103" s="13" t="s">
        <v>208</v>
      </c>
      <c r="AN103" s="13"/>
      <c r="AO103" s="13" t="s">
        <v>208</v>
      </c>
      <c r="AP103" s="13"/>
      <c r="AQ103" s="13"/>
      <c r="AR103" s="13"/>
      <c r="AS103" s="13" t="s">
        <v>208</v>
      </c>
      <c r="AT103" s="13"/>
      <c r="AU103" s="13" t="s">
        <v>208</v>
      </c>
      <c r="AV103" s="13" t="s">
        <v>208</v>
      </c>
      <c r="AW103" s="13"/>
      <c r="AX103" s="13"/>
      <c r="AY103" s="13"/>
      <c r="AZ103" s="13" t="s">
        <v>208</v>
      </c>
      <c r="BA103" s="13" t="s">
        <v>208</v>
      </c>
      <c r="BB103" s="16" t="s">
        <v>65</v>
      </c>
    </row>
    <row r="104" spans="1:54" ht="24.75" customHeight="1" x14ac:dyDescent="0.4">
      <c r="A104" s="14">
        <v>100</v>
      </c>
      <c r="B104" s="13" t="str">
        <f t="shared" si="14"/>
        <v>天草</v>
      </c>
      <c r="C104" s="12" t="str">
        <f>"天草病院"</f>
        <v>天草病院</v>
      </c>
      <c r="D104" s="12" t="str">
        <f>"863-2171"</f>
        <v>863-2171</v>
      </c>
      <c r="E104" s="12" t="s">
        <v>182</v>
      </c>
      <c r="F104" s="12" t="str">
        <f>"0969236111    "</f>
        <v xml:space="preserve">0969236111    </v>
      </c>
      <c r="G104" s="12" t="str">
        <f>"医療法人　天草病院"</f>
        <v>医療法人　天草病院</v>
      </c>
      <c r="H104" s="12" t="str">
        <f>"S31.10.12"</f>
        <v>S31.10.12</v>
      </c>
      <c r="I104" s="12" t="str">
        <f t="shared" si="13"/>
        <v>開設中</v>
      </c>
      <c r="J104" s="12">
        <v>437</v>
      </c>
      <c r="K104" s="12">
        <v>0</v>
      </c>
      <c r="L104" s="12">
        <v>0</v>
      </c>
      <c r="M104" s="12">
        <v>437</v>
      </c>
      <c r="N104" s="12">
        <v>0</v>
      </c>
      <c r="O104" s="12">
        <v>0</v>
      </c>
      <c r="P104" s="13" t="s">
        <v>208</v>
      </c>
      <c r="Q104" s="13"/>
      <c r="R104" s="13" t="s">
        <v>208</v>
      </c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 t="s">
        <v>208</v>
      </c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6"/>
    </row>
    <row r="105" spans="1:54" ht="24.75" customHeight="1" x14ac:dyDescent="0.4">
      <c r="A105" s="14">
        <v>101</v>
      </c>
      <c r="B105" s="13" t="str">
        <f t="shared" si="14"/>
        <v>天草</v>
      </c>
      <c r="C105" s="12" t="str">
        <f>"うしぶか心愛病院"</f>
        <v>うしぶか心愛病院</v>
      </c>
      <c r="D105" s="12" t="str">
        <f>"863-1432"</f>
        <v>863-1432</v>
      </c>
      <c r="E105" s="12" t="s">
        <v>183</v>
      </c>
      <c r="F105" s="12" t="str">
        <f>"0969729553    "</f>
        <v xml:space="preserve">0969729553    </v>
      </c>
      <c r="G105" s="12" t="str">
        <f>"医療法人　木下会"</f>
        <v>医療法人　木下会</v>
      </c>
      <c r="H105" s="12" t="str">
        <f>"H08.07.01"</f>
        <v>H08.07.01</v>
      </c>
      <c r="I105" s="12" t="str">
        <f t="shared" ref="I105:I115" si="15">"開設中"</f>
        <v>開設中</v>
      </c>
      <c r="J105" s="12">
        <v>120</v>
      </c>
      <c r="K105" s="12">
        <v>0</v>
      </c>
      <c r="L105" s="12">
        <v>0</v>
      </c>
      <c r="M105" s="12">
        <v>120</v>
      </c>
      <c r="N105" s="12">
        <v>0</v>
      </c>
      <c r="O105" s="12">
        <v>0</v>
      </c>
      <c r="P105" s="13"/>
      <c r="Q105" s="13"/>
      <c r="R105" s="13" t="s">
        <v>208</v>
      </c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6"/>
    </row>
    <row r="106" spans="1:54" ht="24.75" customHeight="1" x14ac:dyDescent="0.4">
      <c r="A106" s="14">
        <v>102</v>
      </c>
      <c r="B106" s="13" t="str">
        <f t="shared" si="14"/>
        <v>天草</v>
      </c>
      <c r="C106" s="12" t="str">
        <f>"上天草総合病院"</f>
        <v>上天草総合病院</v>
      </c>
      <c r="D106" s="12" t="str">
        <f>"866-0202"</f>
        <v>866-0202</v>
      </c>
      <c r="E106" s="12" t="s">
        <v>184</v>
      </c>
      <c r="F106" s="12" t="str">
        <f>"0969621122    "</f>
        <v xml:space="preserve">0969621122    </v>
      </c>
      <c r="G106" s="12" t="str">
        <f>"上天草市"</f>
        <v>上天草市</v>
      </c>
      <c r="H106" s="12" t="str">
        <f>"H16.03.31"</f>
        <v>H16.03.31</v>
      </c>
      <c r="I106" s="12" t="str">
        <f t="shared" si="15"/>
        <v>開設中</v>
      </c>
      <c r="J106" s="12">
        <v>195</v>
      </c>
      <c r="K106" s="12">
        <v>149</v>
      </c>
      <c r="L106" s="12">
        <v>46</v>
      </c>
      <c r="M106" s="12">
        <v>0</v>
      </c>
      <c r="N106" s="12">
        <v>0</v>
      </c>
      <c r="O106" s="12">
        <v>0</v>
      </c>
      <c r="P106" s="13" t="s">
        <v>208</v>
      </c>
      <c r="Q106" s="13"/>
      <c r="R106" s="13" t="s">
        <v>208</v>
      </c>
      <c r="S106" s="13"/>
      <c r="T106" s="13" t="s">
        <v>208</v>
      </c>
      <c r="U106" s="13"/>
      <c r="V106" s="13"/>
      <c r="W106" s="13"/>
      <c r="X106" s="13"/>
      <c r="Y106" s="13" t="s">
        <v>208</v>
      </c>
      <c r="Z106" s="13"/>
      <c r="AA106" s="13" t="s">
        <v>208</v>
      </c>
      <c r="AB106" s="13" t="s">
        <v>208</v>
      </c>
      <c r="AC106" s="13" t="s">
        <v>208</v>
      </c>
      <c r="AD106" s="13"/>
      <c r="AE106" s="13"/>
      <c r="AF106" s="13"/>
      <c r="AG106" s="13"/>
      <c r="AH106" s="13"/>
      <c r="AI106" s="13"/>
      <c r="AJ106" s="13"/>
      <c r="AK106" s="13"/>
      <c r="AL106" s="13"/>
      <c r="AM106" s="13" t="s">
        <v>208</v>
      </c>
      <c r="AN106" s="13" t="s">
        <v>208</v>
      </c>
      <c r="AO106" s="13" t="s">
        <v>208</v>
      </c>
      <c r="AP106" s="13"/>
      <c r="AQ106" s="13"/>
      <c r="AR106" s="13" t="s">
        <v>208</v>
      </c>
      <c r="AS106" s="13" t="s">
        <v>208</v>
      </c>
      <c r="AT106" s="13"/>
      <c r="AU106" s="13" t="s">
        <v>208</v>
      </c>
      <c r="AV106" s="13" t="s">
        <v>208</v>
      </c>
      <c r="AW106" s="13" t="s">
        <v>208</v>
      </c>
      <c r="AX106" s="13"/>
      <c r="AY106" s="13"/>
      <c r="AZ106" s="13" t="s">
        <v>208</v>
      </c>
      <c r="BA106" s="13" t="s">
        <v>208</v>
      </c>
      <c r="BB106" s="16" t="s">
        <v>81</v>
      </c>
    </row>
    <row r="107" spans="1:54" ht="24.75" customHeight="1" x14ac:dyDescent="0.4">
      <c r="A107" s="14">
        <v>103</v>
      </c>
      <c r="B107" s="13" t="str">
        <f t="shared" si="14"/>
        <v>天草</v>
      </c>
      <c r="C107" s="12" t="str">
        <f>"酒井病院"</f>
        <v>酒井病院</v>
      </c>
      <c r="D107" s="12" t="str">
        <f>"863-0006"</f>
        <v>863-0006</v>
      </c>
      <c r="E107" s="12" t="s">
        <v>185</v>
      </c>
      <c r="F107" s="12" t="str">
        <f>"0969224181    "</f>
        <v xml:space="preserve">0969224181    </v>
      </c>
      <c r="G107" s="12" t="str">
        <f>"医療法人　啓正会"</f>
        <v>医療法人　啓正会</v>
      </c>
      <c r="H107" s="12" t="str">
        <f>"S46.08.31"</f>
        <v>S46.08.31</v>
      </c>
      <c r="I107" s="12" t="str">
        <f t="shared" si="15"/>
        <v>開設中</v>
      </c>
      <c r="J107" s="12">
        <v>140</v>
      </c>
      <c r="K107" s="12">
        <v>0</v>
      </c>
      <c r="L107" s="12">
        <v>0</v>
      </c>
      <c r="M107" s="12">
        <v>140</v>
      </c>
      <c r="N107" s="12">
        <v>0</v>
      </c>
      <c r="O107" s="12">
        <v>0</v>
      </c>
      <c r="P107" s="13"/>
      <c r="Q107" s="13"/>
      <c r="R107" s="13" t="s">
        <v>208</v>
      </c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6"/>
    </row>
    <row r="108" spans="1:54" ht="24.75" customHeight="1" x14ac:dyDescent="0.4">
      <c r="A108" s="14">
        <v>104</v>
      </c>
      <c r="B108" s="13" t="str">
        <f t="shared" si="14"/>
        <v>天草</v>
      </c>
      <c r="C108" s="12" t="str">
        <f>"ニュー天草病院"</f>
        <v>ニュー天草病院</v>
      </c>
      <c r="D108" s="12" t="str">
        <f>"863-0032"</f>
        <v>863-0032</v>
      </c>
      <c r="E108" s="12" t="s">
        <v>186</v>
      </c>
      <c r="F108" s="12" t="str">
        <f>"0969223191    "</f>
        <v xml:space="preserve">0969223191    </v>
      </c>
      <c r="G108" s="12" t="str">
        <f>"医療法人　永輝会"</f>
        <v>医療法人　永輝会</v>
      </c>
      <c r="H108" s="12" t="str">
        <f>"H13.11.01"</f>
        <v>H13.11.01</v>
      </c>
      <c r="I108" s="12" t="str">
        <f t="shared" si="15"/>
        <v>開設中</v>
      </c>
      <c r="J108" s="12">
        <v>132</v>
      </c>
      <c r="K108" s="12">
        <v>0</v>
      </c>
      <c r="L108" s="12">
        <v>132</v>
      </c>
      <c r="M108" s="12">
        <v>0</v>
      </c>
      <c r="N108" s="12">
        <v>0</v>
      </c>
      <c r="O108" s="12">
        <v>0</v>
      </c>
      <c r="P108" s="13" t="s">
        <v>208</v>
      </c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 t="s">
        <v>208</v>
      </c>
      <c r="AV108" s="13"/>
      <c r="AW108" s="13"/>
      <c r="AX108" s="13"/>
      <c r="AY108" s="13"/>
      <c r="AZ108" s="13"/>
      <c r="BA108" s="13"/>
      <c r="BB108" s="16" t="s">
        <v>82</v>
      </c>
    </row>
    <row r="109" spans="1:54" ht="24.75" customHeight="1" x14ac:dyDescent="0.4">
      <c r="A109" s="14">
        <v>105</v>
      </c>
      <c r="B109" s="13" t="str">
        <f t="shared" si="14"/>
        <v>天草</v>
      </c>
      <c r="C109" s="12" t="str">
        <f>"福本病院"</f>
        <v>福本病院</v>
      </c>
      <c r="D109" s="12" t="str">
        <f>"863-1901"</f>
        <v>863-1901</v>
      </c>
      <c r="E109" s="12" t="s">
        <v>187</v>
      </c>
      <c r="F109" s="12" t="str">
        <f>"0969733131    "</f>
        <v xml:space="preserve">0969733131    </v>
      </c>
      <c r="G109" s="12" t="str">
        <f>"医療法人社団　福本会"</f>
        <v>医療法人社団　福本会</v>
      </c>
      <c r="H109" s="12" t="str">
        <f>"H12.10.01"</f>
        <v>H12.10.01</v>
      </c>
      <c r="I109" s="12" t="str">
        <f t="shared" si="15"/>
        <v>開設中</v>
      </c>
      <c r="J109" s="12">
        <v>35</v>
      </c>
      <c r="K109" s="12">
        <v>0</v>
      </c>
      <c r="L109" s="12">
        <v>35</v>
      </c>
      <c r="M109" s="12">
        <v>0</v>
      </c>
      <c r="N109" s="12">
        <v>0</v>
      </c>
      <c r="O109" s="12">
        <v>0</v>
      </c>
      <c r="P109" s="13" t="s">
        <v>208</v>
      </c>
      <c r="Q109" s="13"/>
      <c r="R109" s="13"/>
      <c r="S109" s="13"/>
      <c r="T109" s="13" t="s">
        <v>208</v>
      </c>
      <c r="U109" s="13"/>
      <c r="V109" s="13"/>
      <c r="W109" s="13" t="s">
        <v>208</v>
      </c>
      <c r="X109" s="13" t="s">
        <v>208</v>
      </c>
      <c r="Y109" s="13"/>
      <c r="Z109" s="13" t="s">
        <v>208</v>
      </c>
      <c r="AA109" s="13"/>
      <c r="AB109" s="13"/>
      <c r="AC109" s="13" t="s">
        <v>208</v>
      </c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 t="s">
        <v>208</v>
      </c>
      <c r="AS109" s="13"/>
      <c r="AT109" s="13"/>
      <c r="AU109" s="13" t="s">
        <v>208</v>
      </c>
      <c r="AV109" s="13"/>
      <c r="AW109" s="13"/>
      <c r="AX109" s="13"/>
      <c r="AY109" s="13"/>
      <c r="AZ109" s="13"/>
      <c r="BA109" s="13"/>
      <c r="BB109" s="16"/>
    </row>
    <row r="110" spans="1:54" ht="24.75" customHeight="1" x14ac:dyDescent="0.4">
      <c r="A110" s="14">
        <v>106</v>
      </c>
      <c r="B110" s="13" t="str">
        <f t="shared" si="14"/>
        <v>天草</v>
      </c>
      <c r="C110" s="12" t="str">
        <f>"天草郡市医師会立　苓北医師会病院"</f>
        <v>天草郡市医師会立　苓北医師会病院</v>
      </c>
      <c r="D110" s="12" t="str">
        <f>"863-2507"</f>
        <v>863-2507</v>
      </c>
      <c r="E110" s="12" t="s">
        <v>188</v>
      </c>
      <c r="F110" s="12" t="str">
        <f>"0969351133    "</f>
        <v xml:space="preserve">0969351133    </v>
      </c>
      <c r="G110" s="12" t="str">
        <f>"一般社団法人　天草郡市医師会"</f>
        <v>一般社団法人　天草郡市医師会</v>
      </c>
      <c r="H110" s="12" t="str">
        <f>"S41.05.16"</f>
        <v>S41.05.16</v>
      </c>
      <c r="I110" s="12" t="str">
        <f t="shared" si="15"/>
        <v>開設中</v>
      </c>
      <c r="J110" s="12">
        <v>40</v>
      </c>
      <c r="K110" s="12">
        <v>40</v>
      </c>
      <c r="L110" s="12">
        <v>0</v>
      </c>
      <c r="M110" s="12">
        <v>0</v>
      </c>
      <c r="N110" s="12">
        <v>0</v>
      </c>
      <c r="O110" s="12">
        <v>0</v>
      </c>
      <c r="P110" s="13" t="s">
        <v>208</v>
      </c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 t="s">
        <v>208</v>
      </c>
      <c r="AB110" s="13" t="s">
        <v>208</v>
      </c>
      <c r="AC110" s="13" t="s">
        <v>208</v>
      </c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 t="s">
        <v>208</v>
      </c>
      <c r="AR110" s="13" t="s">
        <v>208</v>
      </c>
      <c r="AS110" s="13"/>
      <c r="AT110" s="13"/>
      <c r="AU110" s="13" t="s">
        <v>208</v>
      </c>
      <c r="AV110" s="13"/>
      <c r="AW110" s="13"/>
      <c r="AX110" s="13"/>
      <c r="AY110" s="13"/>
      <c r="AZ110" s="13"/>
      <c r="BA110" s="13"/>
      <c r="BB110" s="16"/>
    </row>
    <row r="111" spans="1:54" ht="24.75" customHeight="1" x14ac:dyDescent="0.4">
      <c r="A111" s="14">
        <v>107</v>
      </c>
      <c r="B111" s="13" t="str">
        <f t="shared" si="14"/>
        <v>天草</v>
      </c>
      <c r="C111" s="12" t="str">
        <f>"天草市立　牛深市民病院"</f>
        <v>天草市立　牛深市民病院</v>
      </c>
      <c r="D111" s="12" t="str">
        <f>"863-1901"</f>
        <v>863-1901</v>
      </c>
      <c r="E111" s="12" t="s">
        <v>189</v>
      </c>
      <c r="F111" s="12" t="str">
        <f>"0969734171    "</f>
        <v xml:space="preserve">0969734171    </v>
      </c>
      <c r="G111" s="12" t="str">
        <f>"天草市"</f>
        <v>天草市</v>
      </c>
      <c r="H111" s="12" t="str">
        <f>"H18.03.27"</f>
        <v>H18.03.27</v>
      </c>
      <c r="I111" s="12" t="str">
        <f t="shared" si="15"/>
        <v>開設中</v>
      </c>
      <c r="J111" s="12">
        <v>118</v>
      </c>
      <c r="K111" s="12">
        <v>85</v>
      </c>
      <c r="L111" s="12">
        <v>33</v>
      </c>
      <c r="M111" s="12">
        <v>0</v>
      </c>
      <c r="N111" s="12">
        <v>0</v>
      </c>
      <c r="O111" s="12">
        <v>0</v>
      </c>
      <c r="P111" s="13" t="s">
        <v>208</v>
      </c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 t="s">
        <v>208</v>
      </c>
      <c r="AB111" s="13" t="s">
        <v>208</v>
      </c>
      <c r="AC111" s="13" t="s">
        <v>208</v>
      </c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 t="s">
        <v>208</v>
      </c>
      <c r="AP111" s="13"/>
      <c r="AQ111" s="13"/>
      <c r="AR111" s="13" t="s">
        <v>208</v>
      </c>
      <c r="AS111" s="13" t="s">
        <v>208</v>
      </c>
      <c r="AT111" s="13"/>
      <c r="AU111" s="13" t="s">
        <v>208</v>
      </c>
      <c r="AV111" s="13"/>
      <c r="AW111" s="13"/>
      <c r="AX111" s="13"/>
      <c r="AY111" s="13"/>
      <c r="AZ111" s="13"/>
      <c r="BA111" s="13"/>
      <c r="BB111" s="16" t="s">
        <v>53</v>
      </c>
    </row>
    <row r="112" spans="1:54" ht="24.75" customHeight="1" x14ac:dyDescent="0.4">
      <c r="A112" s="14">
        <v>108</v>
      </c>
      <c r="B112" s="13" t="str">
        <f t="shared" si="14"/>
        <v>天草</v>
      </c>
      <c r="C112" s="12" t="str">
        <f>"国民健康保険　天草市立　新和病院"</f>
        <v>国民健康保険　天草市立　新和病院</v>
      </c>
      <c r="D112" s="12" t="str">
        <f>"863-0101"</f>
        <v>863-0101</v>
      </c>
      <c r="E112" s="12" t="s">
        <v>190</v>
      </c>
      <c r="F112" s="12" t="str">
        <f>"0969462003    "</f>
        <v xml:space="preserve">0969462003    </v>
      </c>
      <c r="G112" s="12" t="str">
        <f>"天草市"</f>
        <v>天草市</v>
      </c>
      <c r="H112" s="12" t="str">
        <f>"H18.03.27"</f>
        <v>H18.03.27</v>
      </c>
      <c r="I112" s="12" t="str">
        <f t="shared" si="15"/>
        <v>開設中</v>
      </c>
      <c r="J112" s="12">
        <v>30</v>
      </c>
      <c r="K112" s="12">
        <v>30</v>
      </c>
      <c r="L112" s="12">
        <v>0</v>
      </c>
      <c r="M112" s="12">
        <v>0</v>
      </c>
      <c r="N112" s="12">
        <v>0</v>
      </c>
      <c r="O112" s="12">
        <v>0</v>
      </c>
      <c r="P112" s="13" t="s">
        <v>208</v>
      </c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 t="s">
        <v>208</v>
      </c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 t="s">
        <v>208</v>
      </c>
      <c r="AV112" s="13"/>
      <c r="AW112" s="13"/>
      <c r="AX112" s="13"/>
      <c r="AY112" s="13"/>
      <c r="AZ112" s="13"/>
      <c r="BA112" s="13"/>
      <c r="BB112" s="16" t="s">
        <v>52</v>
      </c>
    </row>
    <row r="113" spans="1:54" ht="24.75" customHeight="1" x14ac:dyDescent="0.4">
      <c r="A113" s="14">
        <v>109</v>
      </c>
      <c r="B113" s="13" t="str">
        <f t="shared" si="14"/>
        <v>天草</v>
      </c>
      <c r="C113" s="12" t="str">
        <f>"天草市立　栖本病院"</f>
        <v>天草市立　栖本病院</v>
      </c>
      <c r="D113" s="12" t="str">
        <f>"861-6303"</f>
        <v>861-6303</v>
      </c>
      <c r="E113" s="12" t="s">
        <v>191</v>
      </c>
      <c r="F113" s="12" t="str">
        <f>"0969662165    "</f>
        <v xml:space="preserve">0969662165    </v>
      </c>
      <c r="G113" s="12" t="str">
        <f>"天草市"</f>
        <v>天草市</v>
      </c>
      <c r="H113" s="12" t="str">
        <f>"H18.03.27"</f>
        <v>H18.03.27</v>
      </c>
      <c r="I113" s="12" t="str">
        <f t="shared" si="15"/>
        <v>開設中</v>
      </c>
      <c r="J113" s="12">
        <v>44</v>
      </c>
      <c r="K113" s="12">
        <v>24</v>
      </c>
      <c r="L113" s="12">
        <v>0</v>
      </c>
      <c r="M113" s="12">
        <v>0</v>
      </c>
      <c r="N113" s="12">
        <v>20</v>
      </c>
      <c r="O113" s="12">
        <v>0</v>
      </c>
      <c r="P113" s="13" t="s">
        <v>208</v>
      </c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 t="s">
        <v>208</v>
      </c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 t="s">
        <v>208</v>
      </c>
      <c r="AV113" s="13"/>
      <c r="AW113" s="13"/>
      <c r="AX113" s="13"/>
      <c r="AY113" s="13"/>
      <c r="AZ113" s="13"/>
      <c r="BA113" s="13"/>
      <c r="BB113" s="16" t="s">
        <v>78</v>
      </c>
    </row>
    <row r="114" spans="1:54" ht="24.75" customHeight="1" x14ac:dyDescent="0.4">
      <c r="A114" s="14">
        <v>110</v>
      </c>
      <c r="B114" s="13" t="str">
        <f t="shared" si="14"/>
        <v>天草</v>
      </c>
      <c r="C114" s="12" t="str">
        <f>"国民健康保険　天草市立　河浦病院"</f>
        <v>国民健康保険　天草市立　河浦病院</v>
      </c>
      <c r="D114" s="12" t="str">
        <f>"863-1215"</f>
        <v>863-1215</v>
      </c>
      <c r="E114" s="12" t="s">
        <v>192</v>
      </c>
      <c r="F114" s="12" t="str">
        <f>"0969761151    "</f>
        <v xml:space="preserve">0969761151    </v>
      </c>
      <c r="G114" s="12" t="str">
        <f>"天草市"</f>
        <v>天草市</v>
      </c>
      <c r="H114" s="12" t="str">
        <f>"H18.03.27"</f>
        <v>H18.03.27</v>
      </c>
      <c r="I114" s="12" t="str">
        <f t="shared" si="15"/>
        <v>開設中</v>
      </c>
      <c r="J114" s="12">
        <v>66</v>
      </c>
      <c r="K114" s="12">
        <v>26</v>
      </c>
      <c r="L114" s="12">
        <v>40</v>
      </c>
      <c r="M114" s="12">
        <v>0</v>
      </c>
      <c r="N114" s="12">
        <v>0</v>
      </c>
      <c r="O114" s="12">
        <v>0</v>
      </c>
      <c r="P114" s="13" t="s">
        <v>208</v>
      </c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 t="s">
        <v>208</v>
      </c>
      <c r="AB114" s="13" t="s">
        <v>208</v>
      </c>
      <c r="AC114" s="13" t="s">
        <v>208</v>
      </c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 t="s">
        <v>208</v>
      </c>
      <c r="AV114" s="13"/>
      <c r="AW114" s="13"/>
      <c r="AX114" s="13"/>
      <c r="AY114" s="13"/>
      <c r="AZ114" s="13"/>
      <c r="BA114" s="13"/>
      <c r="BB114" s="16"/>
    </row>
    <row r="115" spans="1:54" ht="24.75" customHeight="1" x14ac:dyDescent="0.4">
      <c r="A115" s="14">
        <v>111</v>
      </c>
      <c r="B115" s="13" t="str">
        <f t="shared" si="14"/>
        <v>天草</v>
      </c>
      <c r="C115" s="12" t="str">
        <f>"重症心身障害児施設はまゆう療育園"</f>
        <v>重症心身障害児施設はまゆう療育園</v>
      </c>
      <c r="D115" s="12" t="str">
        <f>"863-2503"</f>
        <v>863-2503</v>
      </c>
      <c r="E115" s="12" t="s">
        <v>193</v>
      </c>
      <c r="F115" s="12" t="str">
        <f>"0969351258    "</f>
        <v xml:space="preserve">0969351258    </v>
      </c>
      <c r="G115" s="12" t="str">
        <f>"社会福祉法人　慈永会"</f>
        <v>社会福祉法人　慈永会</v>
      </c>
      <c r="H115" s="12" t="str">
        <f>"R02.06.01"</f>
        <v>R02.06.01</v>
      </c>
      <c r="I115" s="12" t="str">
        <f t="shared" si="15"/>
        <v>開設中</v>
      </c>
      <c r="J115" s="12">
        <v>170</v>
      </c>
      <c r="K115" s="12">
        <v>110</v>
      </c>
      <c r="L115" s="12">
        <v>60</v>
      </c>
      <c r="M115" s="12">
        <v>0</v>
      </c>
      <c r="N115" s="12">
        <v>0</v>
      </c>
      <c r="O115" s="12">
        <v>0</v>
      </c>
      <c r="P115" s="13" t="s">
        <v>208</v>
      </c>
      <c r="Q115" s="13"/>
      <c r="R115" s="13" t="s">
        <v>208</v>
      </c>
      <c r="S115" s="13"/>
      <c r="T115" s="13"/>
      <c r="U115" s="13"/>
      <c r="V115" s="13"/>
      <c r="W115" s="13"/>
      <c r="X115" s="13"/>
      <c r="Y115" s="13"/>
      <c r="Z115" s="13"/>
      <c r="AA115" s="13" t="s">
        <v>208</v>
      </c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6"/>
    </row>
  </sheetData>
  <autoFilter ref="B2:BB115"/>
  <mergeCells count="54">
    <mergeCell ref="BB2:BB4"/>
    <mergeCell ref="BA2:BA4"/>
    <mergeCell ref="N3:N4"/>
    <mergeCell ref="B1:E1"/>
    <mergeCell ref="J2:J4"/>
    <mergeCell ref="O3:O4"/>
    <mergeCell ref="H2:H4"/>
    <mergeCell ref="AZ2:AZ4"/>
    <mergeCell ref="K3:K4"/>
    <mergeCell ref="L3:L4"/>
    <mergeCell ref="M3:M4"/>
    <mergeCell ref="AT2:AT4"/>
    <mergeCell ref="AU2:AU4"/>
    <mergeCell ref="AV2:AV4"/>
    <mergeCell ref="AW2:AW4"/>
    <mergeCell ref="AX2:AX4"/>
    <mergeCell ref="AY2:AY4"/>
    <mergeCell ref="AN2:AN4"/>
    <mergeCell ref="AO2:AO4"/>
    <mergeCell ref="AP2:AP4"/>
    <mergeCell ref="AQ2:AQ4"/>
    <mergeCell ref="AR2:AR4"/>
    <mergeCell ref="AS2:AS4"/>
    <mergeCell ref="AM2:AM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A2:AA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F2:F4"/>
    <mergeCell ref="G2:G4"/>
    <mergeCell ref="I2:I4"/>
    <mergeCell ref="B2:B4"/>
    <mergeCell ref="C2:C4"/>
    <mergeCell ref="D2:D4"/>
    <mergeCell ref="E2:E4"/>
  </mergeCells>
  <phoneticPr fontId="18"/>
  <pageMargins left="0.7" right="0.7" top="0.75" bottom="0.75" header="0.3" footer="0.3"/>
  <pageSetup paperSize="8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台帳（病院）全て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2024-05-17T04:52:59Z</dcterms:created>
  <dcterms:modified xsi:type="dcterms:W3CDTF">2024-05-20T02:49:28Z</dcterms:modified>
</cp:coreProperties>
</file>