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未)\"/>
    </mc:Choice>
  </mc:AlternateContent>
  <bookViews>
    <workbookView xWindow="0" yWindow="0" windowWidth="20490" windowHeight="7365"/>
  </bookViews>
  <sheets>
    <sheet name="第２表　死亡数率年齢階級推移" sheetId="1" r:id="rId1"/>
  </sheets>
  <definedNames>
    <definedName name="_xlnm.Print_Area" localSheetId="0">'第２表　死亡数率年齢階級推移'!$A$1:$AE$54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<sst xmlns="http://schemas.openxmlformats.org/spreadsheetml/2006/main" count="98" uniqueCount="48">
  <si>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</si>
  <si>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</si>
  <si>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</si>
  <si>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</si>
  <si>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</si>
  <si>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</si>
  <si>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</si>
  <si>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</si>
  <si>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</si>
  <si>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</si>
  <si>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</si>
  <si>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</si>
  <si>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</si>
  <si>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</si>
  <si>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</si>
  <si>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</si>
  <si>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</si>
  <si>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</si>
  <si>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</si>
  <si>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</si>
  <si>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</si>
  <si>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</si>
  <si>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</si>
  <si>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</si>
  <si>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</si>
  <si>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</si>
  <si>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</si>
  <si>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</si>
  <si>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</si>
  <si>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</si>
  <si>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</si>
  <si>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</si>
  <si>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</si>
  <si>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</si>
  <si>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</si>
  <si>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</si>
  <si>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</si>
  <si>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</si>
  <si>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</si>
  <si>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</si>
  <si>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</si>
  <si>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</si>
  <si>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</si>
  <si>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</si>
  <si>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</si>
  <si>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</si>
  <si>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令和
元</t>
    <rPh sb="0" eb="2">
      <t>レイワ</t>
    </rPh>
    <rPh sb="3" eb="4">
      <t>ガン</t>
    </rPh>
    <phoneticPr fontId="3"/>
  </si>
  <si>
    <t>注）　率算出に用いた人口は、「国勢調査（総務省統計局）」及び「熊本県の人口（県統計調査課）」。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</si>
</sst>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  <xf numFmtId="38" fontId="4" fillId="0" borderId="11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4" fillId="0" borderId="7" xfId="0" quotePrefix="1" applyFont="1" applyFill="1" applyBorder="1" applyAlignment="1">
      <alignment horizontal="centerContinuous" vertical="center" wrapText="1"/>
    </xf>
    <xf numFmtId="0" fontId="4" fillId="0" borderId="6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Continuous" vertical="center" wrapText="1"/>
    </xf>
    <xf numFmtId="38" fontId="4" fillId="0" borderId="11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wrapText="1"/>
    </xf>
    <xf numFmtId="38" fontId="4" fillId="0" borderId="21" xfId="1" applyFont="1" applyFill="1" applyBorder="1" applyAlignment="1">
      <alignment vertical="center" wrapText="1"/>
    </xf>
    <xf numFmtId="38" fontId="4" fillId="0" borderId="24" xfId="1" applyFont="1" applyFill="1" applyBorder="1" applyAlignment="1">
      <alignment vertical="center" wrapText="1"/>
    </xf>
    <xf numFmtId="38" fontId="4" fillId="0" borderId="30" xfId="1" applyFont="1" applyFill="1" applyBorder="1" applyAlignment="1">
      <alignment vertical="center" wrapText="1"/>
    </xf>
    <xf numFmtId="38" fontId="4" fillId="0" borderId="36" xfId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40" xfId="0" applyNumberFormat="1" applyFont="1" applyFill="1" applyBorder="1" applyAlignment="1">
      <alignment vertical="center" wrapText="1"/>
    </xf>
    <xf numFmtId="177" fontId="4" fillId="0" borderId="21" xfId="0" applyNumberFormat="1" applyFont="1" applyFill="1" applyBorder="1" applyAlignment="1">
      <alignment vertical="center" wrapText="1"/>
    </xf>
    <xf numFmtId="177" fontId="4" fillId="0" borderId="17" xfId="0" applyNumberFormat="1" applyFont="1" applyFill="1" applyBorder="1" applyAlignment="1">
      <alignment vertical="center" wrapText="1"/>
    </xf>
    <xf numFmtId="177" fontId="4" fillId="0" borderId="46" xfId="0" applyNumberFormat="1" applyFont="1" applyFill="1" applyBorder="1" applyAlignment="1">
      <alignment vertical="center" wrapText="1"/>
    </xf>
    <xf numFmtId="177" fontId="4" fillId="0" borderId="36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454025</xdr:colOff>
      <xdr:row>52</xdr:row>
      <xdr:rowOff>180975</xdr:rowOff>
    </xdr:from>
    <xdr:to>
      <xdr:col>29</xdr:col>
      <xdr:colOff>568325</xdr:colOff>
      <xdr:row>53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728825" y="15662275"/>
          <a:ext cx="2755900" cy="222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4"/>
  <sheetViews>
    <sheetView tabSelected="1" view="pageBreakPreview" zoomScale="75" zoomScaleNormal="75" workbookViewId="0">
      <pane xSplit="3" ySplit="2" topLeftCell="J3" activePane="bottomRight" state="frozen"/>
      <selection pane="topRight" activeCell="D1" sqref="D1"/>
      <selection pane="bottomLeft" activeCell="A3" sqref="A3"/>
      <selection pane="bottomRight"/>
    </sheetView>
  </sheetViews>
  <sheetFormatPr defaultRowHeight="18.75" customHeight="1" x14ac:dyDescent="0.15"/>
  <cols>
    <col min="1" max="1" width="3.25" style="2" customWidth="1"/>
    <col min="2" max="2" width="8.625" style="2" customWidth="1"/>
    <col min="3" max="3" width="10.625" style="2" customWidth="1"/>
    <col min="4" max="6" width="8.625" style="2" hidden="1" customWidth="1"/>
    <col min="7" max="27" width="8.625" style="2" bestFit="1" customWidth="1"/>
    <col min="28" max="29" width="8.625" style="106" bestFit="1" customWidth="1"/>
    <col min="30" max="30" width="8.625" style="106" customWidth="1"/>
    <col min="31" max="31" width="8.625" style="106" bestFit="1" customWidth="1"/>
    <col min="32" max="32" width="11" style="2" bestFit="1" customWidth="1"/>
    <col min="33" max="16384" width="9" style="2"/>
  </cols>
  <sheetData>
    <row r="1" spans="2:31" ht="27" customHeight="1" thickBot="1" x14ac:dyDescent="0.2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/>
      <c r="AD1" s="5"/>
      <c r="AE1" s="5"/>
    </row>
    <row r="2" spans="2:31" ht="30" customHeight="1" x14ac:dyDescent="0.15">
      <c r="B2" s="6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>
        <v>60</v>
      </c>
      <c r="I2" s="8" t="s">
        <v>7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14">
        <v>30</v>
      </c>
      <c r="AD2" s="115" t="s">
        <v>46</v>
      </c>
      <c r="AE2" s="113">
        <v>2</v>
      </c>
    </row>
    <row r="3" spans="2:31" ht="23.1" customHeight="1" x14ac:dyDescent="0.15">
      <c r="B3" s="18"/>
      <c r="C3" s="19" t="s">
        <v>8</v>
      </c>
      <c r="D3" s="20">
        <v>15280</v>
      </c>
      <c r="E3" s="20">
        <v>14902</v>
      </c>
      <c r="F3" s="20">
        <v>13868</v>
      </c>
      <c r="G3" s="20">
        <v>13594</v>
      </c>
      <c r="H3" s="20">
        <v>13683</v>
      </c>
      <c r="I3" s="20">
        <v>14536</v>
      </c>
      <c r="J3" s="20">
        <v>15389</v>
      </c>
      <c r="K3" s="21">
        <v>15973</v>
      </c>
      <c r="L3" s="21">
        <v>16017</v>
      </c>
      <c r="M3" s="21">
        <v>16558</v>
      </c>
      <c r="N3" s="21">
        <v>17069</v>
      </c>
      <c r="O3" s="21">
        <v>17076</v>
      </c>
      <c r="P3" s="21">
        <v>17906</v>
      </c>
      <c r="Q3" s="22">
        <v>18084</v>
      </c>
      <c r="R3" s="23">
        <v>18375</v>
      </c>
      <c r="S3" s="21">
        <v>18951</v>
      </c>
      <c r="T3" s="21">
        <v>18505</v>
      </c>
      <c r="U3" s="21">
        <v>19217</v>
      </c>
      <c r="V3" s="21">
        <v>20008</v>
      </c>
      <c r="W3" s="21">
        <v>20565</v>
      </c>
      <c r="X3" s="21">
        <v>20237</v>
      </c>
      <c r="Y3" s="21">
        <v>20461</v>
      </c>
      <c r="Z3" s="21">
        <v>20692</v>
      </c>
      <c r="AA3" s="21">
        <v>21379</v>
      </c>
      <c r="AB3" s="24">
        <v>21588</v>
      </c>
      <c r="AC3" s="107">
        <v>21380</v>
      </c>
      <c r="AD3" s="116">
        <v>21670</v>
      </c>
      <c r="AE3" s="25">
        <v>21156</v>
      </c>
    </row>
    <row r="4" spans="2:31" ht="23.1" customHeight="1" x14ac:dyDescent="0.15">
      <c r="B4" s="18"/>
      <c r="C4" s="26" t="s">
        <v>9</v>
      </c>
      <c r="D4" s="27">
        <v>678</v>
      </c>
      <c r="E4" s="27">
        <v>407</v>
      </c>
      <c r="F4" s="27">
        <v>339</v>
      </c>
      <c r="G4" s="27">
        <v>224</v>
      </c>
      <c r="H4" s="27">
        <v>125</v>
      </c>
      <c r="I4" s="27">
        <v>84</v>
      </c>
      <c r="J4" s="27">
        <v>67</v>
      </c>
      <c r="K4" s="28">
        <v>54</v>
      </c>
      <c r="L4" s="28">
        <v>55</v>
      </c>
      <c r="M4" s="28">
        <v>77</v>
      </c>
      <c r="N4" s="28">
        <v>51</v>
      </c>
      <c r="O4" s="28">
        <v>43</v>
      </c>
      <c r="P4" s="28">
        <v>43</v>
      </c>
      <c r="Q4" s="29">
        <v>35</v>
      </c>
      <c r="R4" s="30">
        <v>45</v>
      </c>
      <c r="S4" s="28">
        <v>39</v>
      </c>
      <c r="T4" s="28">
        <v>33</v>
      </c>
      <c r="U4" s="28">
        <v>42</v>
      </c>
      <c r="V4" s="28">
        <v>31</v>
      </c>
      <c r="W4" s="28">
        <v>39</v>
      </c>
      <c r="X4" s="28">
        <v>41</v>
      </c>
      <c r="Y4" s="28">
        <v>25</v>
      </c>
      <c r="Z4" s="28">
        <v>19</v>
      </c>
      <c r="AA4" s="28">
        <v>29</v>
      </c>
      <c r="AB4" s="31">
        <v>24</v>
      </c>
      <c r="AC4" s="108">
        <v>33</v>
      </c>
      <c r="AD4" s="117">
        <v>27</v>
      </c>
      <c r="AE4" s="32">
        <v>22</v>
      </c>
    </row>
    <row r="5" spans="2:31" ht="23.1" customHeight="1" thickBot="1" x14ac:dyDescent="0.2">
      <c r="B5" s="18"/>
      <c r="C5" s="33" t="s">
        <v>10</v>
      </c>
      <c r="D5" s="34">
        <v>180</v>
      </c>
      <c r="E5" s="34">
        <v>122</v>
      </c>
      <c r="F5" s="34">
        <v>105</v>
      </c>
      <c r="G5" s="34">
        <v>72</v>
      </c>
      <c r="H5" s="34">
        <v>55</v>
      </c>
      <c r="I5" s="34">
        <v>42</v>
      </c>
      <c r="J5" s="34">
        <v>39</v>
      </c>
      <c r="K5" s="35">
        <v>23</v>
      </c>
      <c r="L5" s="35">
        <v>21</v>
      </c>
      <c r="M5" s="35">
        <v>22</v>
      </c>
      <c r="N5" s="35">
        <v>15</v>
      </c>
      <c r="O5" s="35">
        <v>10</v>
      </c>
      <c r="P5" s="35">
        <v>17</v>
      </c>
      <c r="Q5" s="36">
        <v>8</v>
      </c>
      <c r="R5" s="37">
        <v>17</v>
      </c>
      <c r="S5" s="35">
        <v>15</v>
      </c>
      <c r="T5" s="35">
        <v>12</v>
      </c>
      <c r="U5" s="35">
        <v>17</v>
      </c>
      <c r="V5" s="35">
        <v>18</v>
      </c>
      <c r="W5" s="35">
        <v>12</v>
      </c>
      <c r="X5" s="35">
        <v>13</v>
      </c>
      <c r="Y5" s="35">
        <v>13</v>
      </c>
      <c r="Z5" s="35">
        <v>17</v>
      </c>
      <c r="AA5" s="35">
        <v>16</v>
      </c>
      <c r="AB5" s="38">
        <v>9</v>
      </c>
      <c r="AC5" s="109">
        <v>8</v>
      </c>
      <c r="AD5" s="118">
        <v>12</v>
      </c>
      <c r="AE5" s="39">
        <v>6</v>
      </c>
    </row>
    <row r="6" spans="2:31" ht="23.1" customHeight="1" thickTop="1" x14ac:dyDescent="0.15">
      <c r="B6" s="18"/>
      <c r="C6" s="26" t="s">
        <v>11</v>
      </c>
      <c r="D6" s="27">
        <v>858</v>
      </c>
      <c r="E6" s="27">
        <v>529</v>
      </c>
      <c r="F6" s="27">
        <v>444</v>
      </c>
      <c r="G6" s="27">
        <v>296</v>
      </c>
      <c r="H6" s="27">
        <v>180</v>
      </c>
      <c r="I6" s="27">
        <v>126</v>
      </c>
      <c r="J6" s="27">
        <v>106</v>
      </c>
      <c r="K6" s="40">
        <v>77</v>
      </c>
      <c r="L6" s="40">
        <v>76</v>
      </c>
      <c r="M6" s="40">
        <v>99</v>
      </c>
      <c r="N6" s="40">
        <v>66</v>
      </c>
      <c r="O6" s="40">
        <v>53</v>
      </c>
      <c r="P6" s="40">
        <v>60</v>
      </c>
      <c r="Q6" s="41">
        <v>43</v>
      </c>
      <c r="R6" s="42">
        <v>62</v>
      </c>
      <c r="S6" s="40">
        <v>54</v>
      </c>
      <c r="T6" s="40">
        <v>45</v>
      </c>
      <c r="U6" s="40">
        <v>59</v>
      </c>
      <c r="V6" s="40">
        <v>49</v>
      </c>
      <c r="W6" s="40">
        <v>51</v>
      </c>
      <c r="X6" s="40">
        <v>54</v>
      </c>
      <c r="Y6" s="40">
        <v>38</v>
      </c>
      <c r="Z6" s="40">
        <v>36</v>
      </c>
      <c r="AA6" s="40">
        <v>45</v>
      </c>
      <c r="AB6" s="43">
        <v>33</v>
      </c>
      <c r="AC6" s="110">
        <v>41</v>
      </c>
      <c r="AD6" s="119">
        <v>39</v>
      </c>
      <c r="AE6" s="44">
        <v>28</v>
      </c>
    </row>
    <row r="7" spans="2:31" ht="23.1" customHeight="1" x14ac:dyDescent="0.15">
      <c r="B7" s="18"/>
      <c r="C7" s="26" t="s">
        <v>12</v>
      </c>
      <c r="D7" s="27">
        <v>104</v>
      </c>
      <c r="E7" s="27">
        <v>64</v>
      </c>
      <c r="F7" s="27">
        <v>54</v>
      </c>
      <c r="G7" s="27">
        <v>49</v>
      </c>
      <c r="H7" s="27">
        <v>35</v>
      </c>
      <c r="I7" s="27">
        <v>27</v>
      </c>
      <c r="J7" s="27">
        <v>20</v>
      </c>
      <c r="K7" s="28">
        <v>9</v>
      </c>
      <c r="L7" s="28">
        <v>17</v>
      </c>
      <c r="M7" s="28">
        <v>12</v>
      </c>
      <c r="N7" s="28">
        <v>12</v>
      </c>
      <c r="O7" s="28">
        <v>8</v>
      </c>
      <c r="P7" s="28">
        <v>15</v>
      </c>
      <c r="Q7" s="29">
        <v>9</v>
      </c>
      <c r="R7" s="30">
        <v>12</v>
      </c>
      <c r="S7" s="28">
        <v>8</v>
      </c>
      <c r="T7" s="28">
        <v>4</v>
      </c>
      <c r="U7" s="28">
        <v>4</v>
      </c>
      <c r="V7" s="28">
        <v>9</v>
      </c>
      <c r="W7" s="28">
        <v>7</v>
      </c>
      <c r="X7" s="28">
        <v>7</v>
      </c>
      <c r="Y7" s="28">
        <v>7</v>
      </c>
      <c r="Z7" s="28">
        <v>6</v>
      </c>
      <c r="AA7" s="28">
        <v>5</v>
      </c>
      <c r="AB7" s="31">
        <v>8</v>
      </c>
      <c r="AC7" s="108">
        <v>5</v>
      </c>
      <c r="AD7" s="117">
        <v>7</v>
      </c>
      <c r="AE7" s="32">
        <v>0</v>
      </c>
    </row>
    <row r="8" spans="2:31" ht="23.1" customHeight="1" x14ac:dyDescent="0.15">
      <c r="B8" s="18"/>
      <c r="C8" s="26" t="s">
        <v>13</v>
      </c>
      <c r="D8" s="27">
        <v>72</v>
      </c>
      <c r="E8" s="27">
        <v>61</v>
      </c>
      <c r="F8" s="27">
        <v>39</v>
      </c>
      <c r="G8" s="27">
        <v>19</v>
      </c>
      <c r="H8" s="27">
        <v>18</v>
      </c>
      <c r="I8" s="27">
        <v>19</v>
      </c>
      <c r="J8" s="27">
        <v>17</v>
      </c>
      <c r="K8" s="28">
        <v>11</v>
      </c>
      <c r="L8" s="28">
        <v>12</v>
      </c>
      <c r="M8" s="28">
        <v>9</v>
      </c>
      <c r="N8" s="28">
        <v>15</v>
      </c>
      <c r="O8" s="28">
        <v>13</v>
      </c>
      <c r="P8" s="28">
        <v>5</v>
      </c>
      <c r="Q8" s="29">
        <v>4</v>
      </c>
      <c r="R8" s="30">
        <v>4</v>
      </c>
      <c r="S8" s="28">
        <v>15</v>
      </c>
      <c r="T8" s="28">
        <v>7</v>
      </c>
      <c r="U8" s="28">
        <v>3</v>
      </c>
      <c r="V8" s="28">
        <v>8</v>
      </c>
      <c r="W8" s="28">
        <v>10</v>
      </c>
      <c r="X8" s="28">
        <v>7</v>
      </c>
      <c r="Y8" s="28">
        <v>8</v>
      </c>
      <c r="Z8" s="28">
        <v>8</v>
      </c>
      <c r="AA8" s="28">
        <v>3</v>
      </c>
      <c r="AB8" s="31">
        <v>1</v>
      </c>
      <c r="AC8" s="108">
        <v>4</v>
      </c>
      <c r="AD8" s="117">
        <v>4</v>
      </c>
      <c r="AE8" s="32">
        <v>9</v>
      </c>
    </row>
    <row r="9" spans="2:31" ht="23.1" customHeight="1" x14ac:dyDescent="0.15">
      <c r="B9" s="18" t="s">
        <v>14</v>
      </c>
      <c r="C9" s="26" t="s">
        <v>15</v>
      </c>
      <c r="D9" s="27">
        <v>143</v>
      </c>
      <c r="E9" s="27">
        <v>149</v>
      </c>
      <c r="F9" s="27">
        <v>89</v>
      </c>
      <c r="G9" s="27">
        <v>64</v>
      </c>
      <c r="H9" s="27">
        <v>70</v>
      </c>
      <c r="I9" s="27">
        <v>45</v>
      </c>
      <c r="J9" s="27">
        <v>51</v>
      </c>
      <c r="K9" s="28">
        <v>33</v>
      </c>
      <c r="L9" s="28">
        <v>33</v>
      </c>
      <c r="M9" s="28">
        <v>39</v>
      </c>
      <c r="N9" s="28">
        <v>33</v>
      </c>
      <c r="O9" s="28">
        <v>31</v>
      </c>
      <c r="P9" s="28">
        <v>21</v>
      </c>
      <c r="Q9" s="29">
        <v>19</v>
      </c>
      <c r="R9" s="30">
        <v>21</v>
      </c>
      <c r="S9" s="28">
        <v>30</v>
      </c>
      <c r="T9" s="28">
        <v>21</v>
      </c>
      <c r="U9" s="28">
        <v>21</v>
      </c>
      <c r="V9" s="28">
        <v>19</v>
      </c>
      <c r="W9" s="28">
        <v>15</v>
      </c>
      <c r="X9" s="28">
        <v>18</v>
      </c>
      <c r="Y9" s="28">
        <v>14</v>
      </c>
      <c r="Z9" s="28">
        <v>17</v>
      </c>
      <c r="AA9" s="28">
        <v>17</v>
      </c>
      <c r="AB9" s="31">
        <v>11</v>
      </c>
      <c r="AC9" s="108">
        <v>16</v>
      </c>
      <c r="AD9" s="117">
        <v>18</v>
      </c>
      <c r="AE9" s="32">
        <v>17</v>
      </c>
    </row>
    <row r="10" spans="2:31" ht="23.1" customHeight="1" x14ac:dyDescent="0.15">
      <c r="B10" s="18"/>
      <c r="C10" s="26" t="s">
        <v>16</v>
      </c>
      <c r="D10" s="27">
        <v>158</v>
      </c>
      <c r="E10" s="27">
        <v>146</v>
      </c>
      <c r="F10" s="27">
        <v>100</v>
      </c>
      <c r="G10" s="27">
        <v>82</v>
      </c>
      <c r="H10" s="27">
        <v>67</v>
      </c>
      <c r="I10" s="27">
        <v>61</v>
      </c>
      <c r="J10" s="27">
        <v>48</v>
      </c>
      <c r="K10" s="28">
        <v>67</v>
      </c>
      <c r="L10" s="28">
        <v>40</v>
      </c>
      <c r="M10" s="28">
        <v>45</v>
      </c>
      <c r="N10" s="28">
        <v>50</v>
      </c>
      <c r="O10" s="28">
        <v>39</v>
      </c>
      <c r="P10" s="28">
        <v>44</v>
      </c>
      <c r="Q10" s="29">
        <v>46</v>
      </c>
      <c r="R10" s="30">
        <v>35</v>
      </c>
      <c r="S10" s="28">
        <v>54</v>
      </c>
      <c r="T10" s="28">
        <v>38</v>
      </c>
      <c r="U10" s="28">
        <v>35</v>
      </c>
      <c r="V10" s="28">
        <v>33</v>
      </c>
      <c r="W10" s="28">
        <v>34</v>
      </c>
      <c r="X10" s="28">
        <v>26</v>
      </c>
      <c r="Y10" s="28">
        <v>26</v>
      </c>
      <c r="Z10" s="28">
        <v>26</v>
      </c>
      <c r="AA10" s="28">
        <v>27</v>
      </c>
      <c r="AB10" s="31">
        <v>30</v>
      </c>
      <c r="AC10" s="108">
        <v>16</v>
      </c>
      <c r="AD10" s="117">
        <v>27</v>
      </c>
      <c r="AE10" s="32">
        <v>33</v>
      </c>
    </row>
    <row r="11" spans="2:31" ht="23.1" customHeight="1" x14ac:dyDescent="0.15">
      <c r="B11" s="18"/>
      <c r="C11" s="26" t="s">
        <v>17</v>
      </c>
      <c r="D11" s="27">
        <v>193</v>
      </c>
      <c r="E11" s="27">
        <v>169</v>
      </c>
      <c r="F11" s="27">
        <v>116</v>
      </c>
      <c r="G11" s="27">
        <v>109</v>
      </c>
      <c r="H11" s="27">
        <v>76</v>
      </c>
      <c r="I11" s="27">
        <v>49</v>
      </c>
      <c r="J11" s="27">
        <v>51</v>
      </c>
      <c r="K11" s="28">
        <v>60</v>
      </c>
      <c r="L11" s="28">
        <v>60</v>
      </c>
      <c r="M11" s="28">
        <v>52</v>
      </c>
      <c r="N11" s="28">
        <v>59</v>
      </c>
      <c r="O11" s="28">
        <v>42</v>
      </c>
      <c r="P11" s="28">
        <v>57</v>
      </c>
      <c r="Q11" s="29">
        <v>60</v>
      </c>
      <c r="R11" s="30">
        <v>47</v>
      </c>
      <c r="S11" s="28">
        <v>49</v>
      </c>
      <c r="T11" s="28">
        <v>50</v>
      </c>
      <c r="U11" s="28">
        <v>41</v>
      </c>
      <c r="V11" s="28">
        <v>45</v>
      </c>
      <c r="W11" s="28">
        <v>45</v>
      </c>
      <c r="X11" s="28">
        <v>40</v>
      </c>
      <c r="Y11" s="28">
        <v>37</v>
      </c>
      <c r="Z11" s="28">
        <v>27</v>
      </c>
      <c r="AA11" s="28">
        <v>35</v>
      </c>
      <c r="AB11" s="31">
        <v>37</v>
      </c>
      <c r="AC11" s="108">
        <v>22</v>
      </c>
      <c r="AD11" s="117">
        <v>20</v>
      </c>
      <c r="AE11" s="32">
        <v>30</v>
      </c>
    </row>
    <row r="12" spans="2:31" ht="23.1" customHeight="1" x14ac:dyDescent="0.15">
      <c r="B12" s="18"/>
      <c r="C12" s="26" t="s">
        <v>18</v>
      </c>
      <c r="D12" s="27">
        <v>241</v>
      </c>
      <c r="E12" s="27">
        <v>189</v>
      </c>
      <c r="F12" s="27">
        <v>125</v>
      </c>
      <c r="G12" s="27">
        <v>130</v>
      </c>
      <c r="H12" s="27">
        <v>103</v>
      </c>
      <c r="I12" s="27">
        <v>76</v>
      </c>
      <c r="J12" s="27">
        <v>71</v>
      </c>
      <c r="K12" s="28">
        <v>53</v>
      </c>
      <c r="L12" s="28">
        <v>80</v>
      </c>
      <c r="M12" s="28">
        <v>75</v>
      </c>
      <c r="N12" s="28">
        <v>76</v>
      </c>
      <c r="O12" s="28">
        <v>48</v>
      </c>
      <c r="P12" s="28">
        <v>78</v>
      </c>
      <c r="Q12" s="29">
        <v>61</v>
      </c>
      <c r="R12" s="30">
        <v>69</v>
      </c>
      <c r="S12" s="28">
        <v>58</v>
      </c>
      <c r="T12" s="28">
        <v>51</v>
      </c>
      <c r="U12" s="28">
        <v>64</v>
      </c>
      <c r="V12" s="28">
        <v>54</v>
      </c>
      <c r="W12" s="28">
        <v>56</v>
      </c>
      <c r="X12" s="28">
        <v>50</v>
      </c>
      <c r="Y12" s="28">
        <v>48</v>
      </c>
      <c r="Z12" s="28">
        <v>58</v>
      </c>
      <c r="AA12" s="28">
        <v>48</v>
      </c>
      <c r="AB12" s="31">
        <v>41</v>
      </c>
      <c r="AC12" s="108">
        <v>32</v>
      </c>
      <c r="AD12" s="117">
        <v>27</v>
      </c>
      <c r="AE12" s="32">
        <v>31</v>
      </c>
    </row>
    <row r="13" spans="2:31" ht="23.1" customHeight="1" x14ac:dyDescent="0.15">
      <c r="B13" s="18" t="s">
        <v>19</v>
      </c>
      <c r="C13" s="26" t="s">
        <v>20</v>
      </c>
      <c r="D13" s="27">
        <v>318</v>
      </c>
      <c r="E13" s="27">
        <v>291</v>
      </c>
      <c r="F13" s="27">
        <v>204</v>
      </c>
      <c r="G13" s="27">
        <v>149</v>
      </c>
      <c r="H13" s="27">
        <v>172</v>
      </c>
      <c r="I13" s="27">
        <v>133</v>
      </c>
      <c r="J13" s="27">
        <v>122</v>
      </c>
      <c r="K13" s="28">
        <v>92</v>
      </c>
      <c r="L13" s="28">
        <v>82</v>
      </c>
      <c r="M13" s="28">
        <v>101</v>
      </c>
      <c r="N13" s="28">
        <v>69</v>
      </c>
      <c r="O13" s="28">
        <v>113</v>
      </c>
      <c r="P13" s="28">
        <v>82</v>
      </c>
      <c r="Q13" s="29">
        <v>85</v>
      </c>
      <c r="R13" s="30">
        <v>98</v>
      </c>
      <c r="S13" s="28">
        <v>80</v>
      </c>
      <c r="T13" s="28">
        <v>94</v>
      </c>
      <c r="U13" s="28">
        <v>75</v>
      </c>
      <c r="V13" s="28">
        <v>106</v>
      </c>
      <c r="W13" s="28">
        <v>81</v>
      </c>
      <c r="X13" s="28">
        <v>73</v>
      </c>
      <c r="Y13" s="28">
        <v>76</v>
      </c>
      <c r="Z13" s="28">
        <v>80</v>
      </c>
      <c r="AA13" s="28">
        <v>75</v>
      </c>
      <c r="AB13" s="31">
        <v>53</v>
      </c>
      <c r="AC13" s="108">
        <v>55</v>
      </c>
      <c r="AD13" s="117">
        <v>56</v>
      </c>
      <c r="AE13" s="32">
        <v>63</v>
      </c>
    </row>
    <row r="14" spans="2:31" ht="23.1" customHeight="1" x14ac:dyDescent="0.15">
      <c r="B14" s="18"/>
      <c r="C14" s="26" t="s">
        <v>21</v>
      </c>
      <c r="D14" s="27">
        <v>364</v>
      </c>
      <c r="E14" s="27">
        <v>382</v>
      </c>
      <c r="F14" s="27">
        <v>312</v>
      </c>
      <c r="G14" s="27">
        <v>230</v>
      </c>
      <c r="H14" s="27">
        <v>190</v>
      </c>
      <c r="I14" s="27">
        <v>208</v>
      </c>
      <c r="J14" s="27">
        <v>219</v>
      </c>
      <c r="K14" s="28">
        <v>169</v>
      </c>
      <c r="L14" s="28">
        <v>153</v>
      </c>
      <c r="M14" s="28">
        <v>152</v>
      </c>
      <c r="N14" s="28">
        <v>162</v>
      </c>
      <c r="O14" s="28">
        <v>145</v>
      </c>
      <c r="P14" s="28">
        <v>146</v>
      </c>
      <c r="Q14" s="29">
        <v>122</v>
      </c>
      <c r="R14" s="30">
        <v>129</v>
      </c>
      <c r="S14" s="28">
        <v>138</v>
      </c>
      <c r="T14" s="28">
        <v>123</v>
      </c>
      <c r="U14" s="28">
        <v>126</v>
      </c>
      <c r="V14" s="28">
        <v>129</v>
      </c>
      <c r="W14" s="28">
        <v>123</v>
      </c>
      <c r="X14" s="28">
        <v>106</v>
      </c>
      <c r="Y14" s="28">
        <v>101</v>
      </c>
      <c r="Z14" s="28">
        <v>108</v>
      </c>
      <c r="AA14" s="28">
        <v>115</v>
      </c>
      <c r="AB14" s="31">
        <v>116</v>
      </c>
      <c r="AC14" s="108">
        <v>95</v>
      </c>
      <c r="AD14" s="117">
        <v>101</v>
      </c>
      <c r="AE14" s="32">
        <v>91</v>
      </c>
    </row>
    <row r="15" spans="2:31" ht="23.1" customHeight="1" x14ac:dyDescent="0.15">
      <c r="B15" s="18"/>
      <c r="C15" s="26" t="s">
        <v>22</v>
      </c>
      <c r="D15" s="27">
        <v>456</v>
      </c>
      <c r="E15" s="27">
        <v>455</v>
      </c>
      <c r="F15" s="27">
        <v>421</v>
      </c>
      <c r="G15" s="27">
        <v>397</v>
      </c>
      <c r="H15" s="27">
        <v>336</v>
      </c>
      <c r="I15" s="27">
        <v>268</v>
      </c>
      <c r="J15" s="27">
        <v>290</v>
      </c>
      <c r="K15" s="28">
        <v>281</v>
      </c>
      <c r="L15" s="28">
        <v>277</v>
      </c>
      <c r="M15" s="28">
        <v>274</v>
      </c>
      <c r="N15" s="28">
        <v>283</v>
      </c>
      <c r="O15" s="28">
        <v>280</v>
      </c>
      <c r="P15" s="28">
        <v>234</v>
      </c>
      <c r="Q15" s="29">
        <v>260</v>
      </c>
      <c r="R15" s="30">
        <v>213</v>
      </c>
      <c r="S15" s="28">
        <v>221</v>
      </c>
      <c r="T15" s="28">
        <v>219</v>
      </c>
      <c r="U15" s="28">
        <v>200</v>
      </c>
      <c r="V15" s="28">
        <v>191</v>
      </c>
      <c r="W15" s="28">
        <v>182</v>
      </c>
      <c r="X15" s="28">
        <v>172</v>
      </c>
      <c r="Y15" s="28">
        <v>188</v>
      </c>
      <c r="Z15" s="28">
        <v>172</v>
      </c>
      <c r="AA15" s="28">
        <v>166</v>
      </c>
      <c r="AB15" s="31">
        <v>161</v>
      </c>
      <c r="AC15" s="108">
        <v>173</v>
      </c>
      <c r="AD15" s="117">
        <v>172</v>
      </c>
      <c r="AE15" s="32">
        <v>167</v>
      </c>
    </row>
    <row r="16" spans="2:31" ht="23.1" customHeight="1" x14ac:dyDescent="0.15">
      <c r="B16" s="18"/>
      <c r="C16" s="26" t="s">
        <v>23</v>
      </c>
      <c r="D16" s="27">
        <v>626</v>
      </c>
      <c r="E16" s="27">
        <v>603</v>
      </c>
      <c r="F16" s="27">
        <v>585</v>
      </c>
      <c r="G16" s="27">
        <v>573</v>
      </c>
      <c r="H16" s="27">
        <v>528</v>
      </c>
      <c r="I16" s="27">
        <v>411</v>
      </c>
      <c r="J16" s="27">
        <v>399</v>
      </c>
      <c r="K16" s="28">
        <v>500</v>
      </c>
      <c r="L16" s="28">
        <v>465</v>
      </c>
      <c r="M16" s="28">
        <v>482</v>
      </c>
      <c r="N16" s="28">
        <v>465</v>
      </c>
      <c r="O16" s="28">
        <v>464</v>
      </c>
      <c r="P16" s="28">
        <v>412</v>
      </c>
      <c r="Q16" s="29">
        <v>434</v>
      </c>
      <c r="R16" s="30">
        <v>400</v>
      </c>
      <c r="S16" s="28">
        <v>385</v>
      </c>
      <c r="T16" s="28">
        <v>342</v>
      </c>
      <c r="U16" s="28">
        <v>358</v>
      </c>
      <c r="V16" s="28">
        <v>322</v>
      </c>
      <c r="W16" s="28">
        <v>309</v>
      </c>
      <c r="X16" s="28">
        <v>277</v>
      </c>
      <c r="Y16" s="28">
        <v>270</v>
      </c>
      <c r="Z16" s="28">
        <v>266</v>
      </c>
      <c r="AA16" s="28">
        <v>272</v>
      </c>
      <c r="AB16" s="31">
        <v>219</v>
      </c>
      <c r="AC16" s="108">
        <v>209</v>
      </c>
      <c r="AD16" s="117">
        <v>249</v>
      </c>
      <c r="AE16" s="32">
        <v>250</v>
      </c>
    </row>
    <row r="17" spans="2:31" ht="23.1" customHeight="1" x14ac:dyDescent="0.15">
      <c r="B17" s="18" t="s">
        <v>24</v>
      </c>
      <c r="C17" s="26" t="s">
        <v>25</v>
      </c>
      <c r="D17" s="27">
        <v>970</v>
      </c>
      <c r="E17" s="27">
        <v>833</v>
      </c>
      <c r="F17" s="27">
        <v>697</v>
      </c>
      <c r="G17" s="27">
        <v>721</v>
      </c>
      <c r="H17" s="27">
        <v>766</v>
      </c>
      <c r="I17" s="27">
        <v>717</v>
      </c>
      <c r="J17" s="27">
        <v>566</v>
      </c>
      <c r="K17" s="28">
        <v>526</v>
      </c>
      <c r="L17" s="28">
        <v>505</v>
      </c>
      <c r="M17" s="28">
        <v>536</v>
      </c>
      <c r="N17" s="28">
        <v>578</v>
      </c>
      <c r="O17" s="28">
        <v>621</v>
      </c>
      <c r="P17" s="28">
        <v>663</v>
      </c>
      <c r="Q17" s="29">
        <v>665</v>
      </c>
      <c r="R17" s="30">
        <v>659</v>
      </c>
      <c r="S17" s="28">
        <v>682</v>
      </c>
      <c r="T17" s="28">
        <v>555</v>
      </c>
      <c r="U17" s="28">
        <v>620</v>
      </c>
      <c r="V17" s="28">
        <v>559</v>
      </c>
      <c r="W17" s="28">
        <v>521</v>
      </c>
      <c r="X17" s="28">
        <v>478</v>
      </c>
      <c r="Y17" s="28">
        <v>465</v>
      </c>
      <c r="Z17" s="28">
        <v>424</v>
      </c>
      <c r="AA17" s="28">
        <v>385</v>
      </c>
      <c r="AB17" s="31">
        <v>406</v>
      </c>
      <c r="AC17" s="108">
        <v>400</v>
      </c>
      <c r="AD17" s="117">
        <v>372</v>
      </c>
      <c r="AE17" s="32">
        <v>392</v>
      </c>
    </row>
    <row r="18" spans="2:31" ht="23.1" customHeight="1" x14ac:dyDescent="0.15">
      <c r="B18" s="18"/>
      <c r="C18" s="26" t="s">
        <v>26</v>
      </c>
      <c r="D18" s="27">
        <v>1280</v>
      </c>
      <c r="E18" s="27">
        <v>1128</v>
      </c>
      <c r="F18" s="27">
        <v>943</v>
      </c>
      <c r="G18" s="27">
        <v>866</v>
      </c>
      <c r="H18" s="27">
        <v>855</v>
      </c>
      <c r="I18" s="27">
        <v>1031</v>
      </c>
      <c r="J18" s="27">
        <v>962</v>
      </c>
      <c r="K18" s="28">
        <v>810</v>
      </c>
      <c r="L18" s="28">
        <v>718</v>
      </c>
      <c r="M18" s="28">
        <v>763</v>
      </c>
      <c r="N18" s="28">
        <v>689</v>
      </c>
      <c r="O18" s="28">
        <v>686</v>
      </c>
      <c r="P18" s="28">
        <v>724</v>
      </c>
      <c r="Q18" s="29">
        <v>728</v>
      </c>
      <c r="R18" s="30">
        <v>673</v>
      </c>
      <c r="S18" s="28">
        <v>724</v>
      </c>
      <c r="T18" s="28">
        <v>754</v>
      </c>
      <c r="U18" s="28">
        <v>842</v>
      </c>
      <c r="V18" s="28">
        <v>889</v>
      </c>
      <c r="W18" s="28">
        <v>944</v>
      </c>
      <c r="X18" s="28">
        <v>849</v>
      </c>
      <c r="Y18" s="28">
        <v>849</v>
      </c>
      <c r="Z18" s="28">
        <v>739</v>
      </c>
      <c r="AA18" s="28">
        <v>755</v>
      </c>
      <c r="AB18" s="31">
        <v>705</v>
      </c>
      <c r="AC18" s="108">
        <v>652</v>
      </c>
      <c r="AD18" s="117">
        <v>646</v>
      </c>
      <c r="AE18" s="32">
        <v>571</v>
      </c>
    </row>
    <row r="19" spans="2:31" ht="23.1" customHeight="1" x14ac:dyDescent="0.15">
      <c r="B19" s="18"/>
      <c r="C19" s="26" t="s">
        <v>27</v>
      </c>
      <c r="D19" s="27">
        <v>1772</v>
      </c>
      <c r="E19" s="27">
        <v>1730</v>
      </c>
      <c r="F19" s="27">
        <v>1404</v>
      </c>
      <c r="G19" s="27">
        <v>1311</v>
      </c>
      <c r="H19" s="27">
        <v>1179</v>
      </c>
      <c r="I19" s="27">
        <v>1148</v>
      </c>
      <c r="J19" s="27">
        <v>1472</v>
      </c>
      <c r="K19" s="28">
        <v>1265</v>
      </c>
      <c r="L19" s="28">
        <v>1212</v>
      </c>
      <c r="M19" s="28">
        <v>1143</v>
      </c>
      <c r="N19" s="28">
        <v>1163</v>
      </c>
      <c r="O19" s="28">
        <v>1062</v>
      </c>
      <c r="P19" s="28">
        <v>1061</v>
      </c>
      <c r="Q19" s="29">
        <v>1014</v>
      </c>
      <c r="R19" s="30">
        <v>969</v>
      </c>
      <c r="S19" s="28">
        <v>1039</v>
      </c>
      <c r="T19" s="28">
        <v>966</v>
      </c>
      <c r="U19" s="28">
        <v>958</v>
      </c>
      <c r="V19" s="28">
        <v>928</v>
      </c>
      <c r="W19" s="28">
        <v>1000</v>
      </c>
      <c r="X19" s="28">
        <v>951</v>
      </c>
      <c r="Y19" s="28">
        <v>1110</v>
      </c>
      <c r="Z19" s="28">
        <v>1154</v>
      </c>
      <c r="AA19" s="28">
        <v>1291</v>
      </c>
      <c r="AB19" s="31">
        <v>1293</v>
      </c>
      <c r="AC19" s="108">
        <v>1174</v>
      </c>
      <c r="AD19" s="117">
        <v>1149</v>
      </c>
      <c r="AE19" s="32">
        <v>1060</v>
      </c>
    </row>
    <row r="20" spans="2:31" ht="23.1" customHeight="1" x14ac:dyDescent="0.15">
      <c r="B20" s="18"/>
      <c r="C20" s="26" t="s">
        <v>28</v>
      </c>
      <c r="D20" s="27">
        <v>2085</v>
      </c>
      <c r="E20" s="27">
        <v>2260</v>
      </c>
      <c r="F20" s="27">
        <v>1912</v>
      </c>
      <c r="G20" s="27">
        <v>1766</v>
      </c>
      <c r="H20" s="27">
        <v>1588</v>
      </c>
      <c r="I20" s="27">
        <v>1605</v>
      </c>
      <c r="J20" s="27">
        <v>1624</v>
      </c>
      <c r="K20" s="28">
        <v>1831</v>
      </c>
      <c r="L20" s="28">
        <v>1917</v>
      </c>
      <c r="M20" s="28">
        <v>1834</v>
      </c>
      <c r="N20" s="28">
        <v>1839</v>
      </c>
      <c r="O20" s="28">
        <v>1797</v>
      </c>
      <c r="P20" s="28">
        <v>1809</v>
      </c>
      <c r="Q20" s="29">
        <v>1750</v>
      </c>
      <c r="R20" s="30">
        <v>1730</v>
      </c>
      <c r="S20" s="28">
        <v>1570</v>
      </c>
      <c r="T20" s="28">
        <v>1427</v>
      </c>
      <c r="U20" s="28">
        <v>1404</v>
      </c>
      <c r="V20" s="28">
        <v>1451</v>
      </c>
      <c r="W20" s="28">
        <v>1406</v>
      </c>
      <c r="X20" s="28">
        <v>1326</v>
      </c>
      <c r="Y20" s="28">
        <v>1357</v>
      </c>
      <c r="Z20" s="28">
        <v>1400</v>
      </c>
      <c r="AA20" s="28">
        <v>1239</v>
      </c>
      <c r="AB20" s="31">
        <v>1330</v>
      </c>
      <c r="AC20" s="108">
        <v>1412</v>
      </c>
      <c r="AD20" s="117">
        <v>1573</v>
      </c>
      <c r="AE20" s="32">
        <v>1598</v>
      </c>
    </row>
    <row r="21" spans="2:31" ht="23.1" customHeight="1" x14ac:dyDescent="0.15">
      <c r="B21" s="45" t="s">
        <v>29</v>
      </c>
      <c r="C21" s="26" t="s">
        <v>30</v>
      </c>
      <c r="D21" s="27">
        <v>2127</v>
      </c>
      <c r="E21" s="27">
        <v>2359</v>
      </c>
      <c r="F21" s="27">
        <v>2389</v>
      </c>
      <c r="G21" s="27">
        <v>2141</v>
      </c>
      <c r="H21" s="27">
        <v>2226</v>
      </c>
      <c r="I21" s="27">
        <v>2173</v>
      </c>
      <c r="J21" s="27">
        <v>2088</v>
      </c>
      <c r="K21" s="28">
        <v>2235</v>
      </c>
      <c r="L21" s="28">
        <v>2290</v>
      </c>
      <c r="M21" s="28">
        <v>2449</v>
      </c>
      <c r="N21" s="28">
        <v>2413</v>
      </c>
      <c r="O21" s="28">
        <v>2529</v>
      </c>
      <c r="P21" s="28">
        <v>2562</v>
      </c>
      <c r="Q21" s="29">
        <v>2567</v>
      </c>
      <c r="R21" s="30">
        <v>2597</v>
      </c>
      <c r="S21" s="28">
        <v>2569</v>
      </c>
      <c r="T21" s="28">
        <v>2556</v>
      </c>
      <c r="U21" s="28">
        <v>2313</v>
      </c>
      <c r="V21" s="28">
        <v>2528</v>
      </c>
      <c r="W21" s="28">
        <v>2411</v>
      </c>
      <c r="X21" s="28">
        <v>2297</v>
      </c>
      <c r="Y21" s="28">
        <v>2139</v>
      </c>
      <c r="Z21" s="28">
        <v>2103</v>
      </c>
      <c r="AA21" s="28">
        <v>2093</v>
      </c>
      <c r="AB21" s="31">
        <v>2005</v>
      </c>
      <c r="AC21" s="108">
        <v>1975</v>
      </c>
      <c r="AD21" s="117">
        <v>1896</v>
      </c>
      <c r="AE21" s="32">
        <v>1855</v>
      </c>
    </row>
    <row r="22" spans="2:31" ht="23.1" customHeight="1" x14ac:dyDescent="0.15">
      <c r="B22" s="18"/>
      <c r="C22" s="26" t="s">
        <v>31</v>
      </c>
      <c r="D22" s="27">
        <v>1891</v>
      </c>
      <c r="E22" s="27">
        <v>1837</v>
      </c>
      <c r="F22" s="27">
        <v>2117</v>
      </c>
      <c r="G22" s="27">
        <v>2320</v>
      </c>
      <c r="H22" s="27">
        <v>2368</v>
      </c>
      <c r="I22" s="27">
        <v>2559</v>
      </c>
      <c r="J22" s="27">
        <v>2642</v>
      </c>
      <c r="K22" s="28">
        <v>2524</v>
      </c>
      <c r="L22" s="28">
        <v>2526</v>
      </c>
      <c r="M22" s="28">
        <v>2588</v>
      </c>
      <c r="N22" s="28">
        <v>2811</v>
      </c>
      <c r="O22" s="28">
        <v>2890</v>
      </c>
      <c r="P22" s="28">
        <v>3048</v>
      </c>
      <c r="Q22" s="29">
        <v>3065</v>
      </c>
      <c r="R22" s="30">
        <v>3247</v>
      </c>
      <c r="S22" s="28">
        <v>3369</v>
      </c>
      <c r="T22" s="28">
        <v>3361</v>
      </c>
      <c r="U22" s="28">
        <v>3509</v>
      </c>
      <c r="V22" s="28">
        <v>3548</v>
      </c>
      <c r="W22" s="28">
        <v>3663</v>
      </c>
      <c r="X22" s="28">
        <v>3537</v>
      </c>
      <c r="Y22" s="28">
        <v>3516</v>
      </c>
      <c r="Z22" s="28">
        <v>3511</v>
      </c>
      <c r="AA22" s="28">
        <v>3471</v>
      </c>
      <c r="AB22" s="31">
        <v>3375</v>
      </c>
      <c r="AC22" s="108">
        <v>3159</v>
      </c>
      <c r="AD22" s="117">
        <v>3201</v>
      </c>
      <c r="AE22" s="32">
        <v>2910</v>
      </c>
    </row>
    <row r="23" spans="2:31" ht="23.1" customHeight="1" x14ac:dyDescent="0.15">
      <c r="B23" s="18"/>
      <c r="C23" s="26" t="s">
        <v>32</v>
      </c>
      <c r="D23" s="27">
        <v>1622</v>
      </c>
      <c r="E23" s="27">
        <v>1716</v>
      </c>
      <c r="F23" s="27">
        <v>1916</v>
      </c>
      <c r="G23" s="27">
        <v>2371</v>
      </c>
      <c r="H23" s="27">
        <v>2926</v>
      </c>
      <c r="I23" s="27">
        <v>3880</v>
      </c>
      <c r="J23" s="27">
        <v>4641</v>
      </c>
      <c r="K23" s="28">
        <v>5430</v>
      </c>
      <c r="L23" s="28">
        <v>5554</v>
      </c>
      <c r="M23" s="28">
        <v>5905</v>
      </c>
      <c r="N23" s="28">
        <v>6286</v>
      </c>
      <c r="O23" s="28">
        <v>6254</v>
      </c>
      <c r="P23" s="28">
        <v>6884</v>
      </c>
      <c r="Q23" s="29">
        <v>7150</v>
      </c>
      <c r="R23" s="30">
        <v>7408</v>
      </c>
      <c r="S23" s="28">
        <v>7904</v>
      </c>
      <c r="T23" s="28">
        <v>7892</v>
      </c>
      <c r="U23" s="28">
        <v>8583</v>
      </c>
      <c r="V23" s="28">
        <v>9140</v>
      </c>
      <c r="W23" s="28">
        <v>9707</v>
      </c>
      <c r="X23" s="28">
        <v>9969</v>
      </c>
      <c r="Y23" s="28">
        <v>10211</v>
      </c>
      <c r="Z23" s="28">
        <v>10556</v>
      </c>
      <c r="AA23" s="28">
        <v>11337</v>
      </c>
      <c r="AB23" s="31">
        <v>11764</v>
      </c>
      <c r="AC23" s="108">
        <v>11939</v>
      </c>
      <c r="AD23" s="117">
        <v>12113</v>
      </c>
      <c r="AE23" s="32">
        <v>12051</v>
      </c>
    </row>
    <row r="24" spans="2:31" ht="28.5" x14ac:dyDescent="0.15">
      <c r="B24" s="18"/>
      <c r="C24" s="46" t="s">
        <v>33</v>
      </c>
      <c r="D24" s="47" t="s">
        <v>34</v>
      </c>
      <c r="E24" s="47" t="s">
        <v>34</v>
      </c>
      <c r="F24" s="47" t="s">
        <v>34</v>
      </c>
      <c r="G24" s="48">
        <v>1623</v>
      </c>
      <c r="H24" s="48">
        <v>1877</v>
      </c>
      <c r="I24" s="48">
        <v>2235</v>
      </c>
      <c r="J24" s="48">
        <v>2563</v>
      </c>
      <c r="K24" s="49">
        <v>2719</v>
      </c>
      <c r="L24" s="49">
        <v>2724</v>
      </c>
      <c r="M24" s="49">
        <v>2842</v>
      </c>
      <c r="N24" s="49">
        <v>2940</v>
      </c>
      <c r="O24" s="49">
        <v>2836</v>
      </c>
      <c r="P24" s="49">
        <v>3002</v>
      </c>
      <c r="Q24" s="50">
        <v>3105</v>
      </c>
      <c r="R24" s="51">
        <v>3228</v>
      </c>
      <c r="S24" s="49">
        <v>3326</v>
      </c>
      <c r="T24" s="49">
        <v>3500</v>
      </c>
      <c r="U24" s="49">
        <v>3750</v>
      </c>
      <c r="V24" s="49">
        <v>3934</v>
      </c>
      <c r="W24" s="49">
        <v>4305</v>
      </c>
      <c r="X24" s="49">
        <v>4328</v>
      </c>
      <c r="Y24" s="49">
        <v>4444</v>
      </c>
      <c r="Z24" s="49">
        <v>4519</v>
      </c>
      <c r="AA24" s="49">
        <v>4612</v>
      </c>
      <c r="AB24" s="52">
        <v>4794</v>
      </c>
      <c r="AC24" s="111">
        <v>4639</v>
      </c>
      <c r="AD24" s="120">
        <v>4635</v>
      </c>
      <c r="AE24" s="53">
        <v>4558</v>
      </c>
    </row>
    <row r="25" spans="2:31" ht="23.1" customHeight="1" x14ac:dyDescent="0.15">
      <c r="B25" s="18"/>
      <c r="C25" s="26" t="s">
        <v>35</v>
      </c>
      <c r="D25" s="54" t="s">
        <v>34</v>
      </c>
      <c r="E25" s="54" t="s">
        <v>34</v>
      </c>
      <c r="F25" s="54" t="s">
        <v>34</v>
      </c>
      <c r="G25" s="27">
        <v>590</v>
      </c>
      <c r="H25" s="27">
        <v>841</v>
      </c>
      <c r="I25" s="27">
        <v>1281</v>
      </c>
      <c r="J25" s="27">
        <v>1527</v>
      </c>
      <c r="K25" s="28">
        <v>1867</v>
      </c>
      <c r="L25" s="28">
        <v>1912</v>
      </c>
      <c r="M25" s="28">
        <v>2042</v>
      </c>
      <c r="N25" s="28">
        <v>2221</v>
      </c>
      <c r="O25" s="28">
        <v>2211</v>
      </c>
      <c r="P25" s="28">
        <v>2486</v>
      </c>
      <c r="Q25" s="29">
        <v>2568</v>
      </c>
      <c r="R25" s="30">
        <v>2550</v>
      </c>
      <c r="S25" s="28">
        <v>2809</v>
      </c>
      <c r="T25" s="28">
        <v>2667</v>
      </c>
      <c r="U25" s="28">
        <v>2923</v>
      </c>
      <c r="V25" s="28">
        <v>3097</v>
      </c>
      <c r="W25" s="28">
        <v>3295</v>
      </c>
      <c r="X25" s="28">
        <v>3403</v>
      </c>
      <c r="Y25" s="28">
        <v>3576</v>
      </c>
      <c r="Z25" s="28">
        <v>3695</v>
      </c>
      <c r="AA25" s="28">
        <v>4171</v>
      </c>
      <c r="AB25" s="31">
        <v>4191</v>
      </c>
      <c r="AC25" s="108">
        <v>4448</v>
      </c>
      <c r="AD25" s="117">
        <v>4570</v>
      </c>
      <c r="AE25" s="32">
        <v>4498</v>
      </c>
    </row>
    <row r="26" spans="2:31" ht="23.1" customHeight="1" x14ac:dyDescent="0.15">
      <c r="B26" s="18"/>
      <c r="C26" s="26" t="s">
        <v>36</v>
      </c>
      <c r="D26" s="54" t="s">
        <v>34</v>
      </c>
      <c r="E26" s="54" t="s">
        <v>34</v>
      </c>
      <c r="F26" s="54" t="s">
        <v>34</v>
      </c>
      <c r="G26" s="27">
        <v>145</v>
      </c>
      <c r="H26" s="27">
        <v>190</v>
      </c>
      <c r="I26" s="27">
        <v>324</v>
      </c>
      <c r="J26" s="27">
        <v>482</v>
      </c>
      <c r="K26" s="28">
        <v>704</v>
      </c>
      <c r="L26" s="28">
        <v>744</v>
      </c>
      <c r="M26" s="28">
        <v>853</v>
      </c>
      <c r="N26" s="28">
        <v>918</v>
      </c>
      <c r="O26" s="28">
        <v>1001</v>
      </c>
      <c r="P26" s="28">
        <v>1122</v>
      </c>
      <c r="Q26" s="29">
        <v>1218</v>
      </c>
      <c r="R26" s="30">
        <v>1328</v>
      </c>
      <c r="S26" s="28">
        <v>1405</v>
      </c>
      <c r="T26" s="28">
        <v>1337</v>
      </c>
      <c r="U26" s="28">
        <v>1541</v>
      </c>
      <c r="V26" s="28">
        <v>1633</v>
      </c>
      <c r="W26" s="28">
        <v>1693</v>
      </c>
      <c r="X26" s="28">
        <v>1740</v>
      </c>
      <c r="Y26" s="28">
        <v>1683</v>
      </c>
      <c r="Z26" s="28">
        <v>1836</v>
      </c>
      <c r="AA26" s="28">
        <v>1965</v>
      </c>
      <c r="AB26" s="31">
        <v>2178</v>
      </c>
      <c r="AC26" s="108">
        <v>2239</v>
      </c>
      <c r="AD26" s="117">
        <v>2303</v>
      </c>
      <c r="AE26" s="32">
        <v>2354</v>
      </c>
    </row>
    <row r="27" spans="2:31" ht="23.1" customHeight="1" thickBot="1" x14ac:dyDescent="0.2">
      <c r="B27" s="55"/>
      <c r="C27" s="56" t="s">
        <v>37</v>
      </c>
      <c r="D27" s="57" t="s">
        <v>34</v>
      </c>
      <c r="E27" s="57" t="s">
        <v>34</v>
      </c>
      <c r="F27" s="57" t="s">
        <v>34</v>
      </c>
      <c r="G27" s="58">
        <v>13</v>
      </c>
      <c r="H27" s="58">
        <v>18</v>
      </c>
      <c r="I27" s="58">
        <v>40</v>
      </c>
      <c r="J27" s="58">
        <v>69</v>
      </c>
      <c r="K27" s="59">
        <v>140</v>
      </c>
      <c r="L27" s="59">
        <v>174</v>
      </c>
      <c r="M27" s="59">
        <v>168</v>
      </c>
      <c r="N27" s="59">
        <v>207</v>
      </c>
      <c r="O27" s="59">
        <v>206</v>
      </c>
      <c r="P27" s="59">
        <v>274</v>
      </c>
      <c r="Q27" s="60">
        <v>259</v>
      </c>
      <c r="R27" s="61">
        <v>302</v>
      </c>
      <c r="S27" s="59">
        <v>364</v>
      </c>
      <c r="T27" s="59">
        <v>388</v>
      </c>
      <c r="U27" s="59">
        <v>369</v>
      </c>
      <c r="V27" s="59">
        <v>476</v>
      </c>
      <c r="W27" s="59">
        <v>414</v>
      </c>
      <c r="X27" s="59">
        <v>498</v>
      </c>
      <c r="Y27" s="59">
        <v>508</v>
      </c>
      <c r="Z27" s="59">
        <v>506</v>
      </c>
      <c r="AA27" s="59">
        <v>589</v>
      </c>
      <c r="AB27" s="62">
        <v>601</v>
      </c>
      <c r="AC27" s="112">
        <v>613</v>
      </c>
      <c r="AD27" s="121">
        <v>605</v>
      </c>
      <c r="AE27" s="63">
        <v>641</v>
      </c>
    </row>
    <row r="28" spans="2:31" ht="23.1" customHeight="1" x14ac:dyDescent="0.15">
      <c r="B28" s="64"/>
      <c r="C28" s="7" t="s">
        <v>8</v>
      </c>
      <c r="D28" s="65">
        <v>8.6</v>
      </c>
      <c r="E28" s="65">
        <v>8.8000000000000007</v>
      </c>
      <c r="F28" s="65">
        <v>8.1</v>
      </c>
      <c r="G28" s="65">
        <v>7.6</v>
      </c>
      <c r="H28" s="65">
        <v>7.5</v>
      </c>
      <c r="I28" s="65">
        <v>7.9</v>
      </c>
      <c r="J28" s="66">
        <v>8.3000000000000007</v>
      </c>
      <c r="K28" s="67">
        <v>8.6151705316185332</v>
      </c>
      <c r="L28" s="67">
        <v>8.6298491379310356</v>
      </c>
      <c r="M28" s="67">
        <v>8.9357798165137599</v>
      </c>
      <c r="N28" s="67">
        <v>9.1999999999999993</v>
      </c>
      <c r="O28" s="67">
        <v>9.3000000000000007</v>
      </c>
      <c r="P28" s="67">
        <v>9.8000000000000007</v>
      </c>
      <c r="Q28" s="66">
        <v>9.9</v>
      </c>
      <c r="R28" s="68">
        <v>10.1</v>
      </c>
      <c r="S28" s="67">
        <v>10.452840595697738</v>
      </c>
      <c r="T28" s="67">
        <f>(T3*1000)/1815985</f>
        <v>10.190062142583777</v>
      </c>
      <c r="U28" s="69">
        <f>(U3*1000)/1809626</f>
        <v>10.61932134043167</v>
      </c>
      <c r="V28" s="69">
        <f>(V3*1000)/1812502</f>
        <v>11.038884370886212</v>
      </c>
      <c r="W28" s="69">
        <f>(W3*1000)/1807201</f>
        <v>11.379475774969137</v>
      </c>
      <c r="X28" s="69">
        <f>(X3*1000)/1801495</f>
        <v>11.233447775319943</v>
      </c>
      <c r="Y28" s="69">
        <f>(Y3*1000)/1794623</f>
        <v>11.401280380336148</v>
      </c>
      <c r="Z28" s="69">
        <f>(Z3*1000)/1786170</f>
        <v>11.584563619364339</v>
      </c>
      <c r="AA28" s="69">
        <f>(AA3*1000)/1774538</f>
        <v>12.047642823089728</v>
      </c>
      <c r="AB28" s="69">
        <f>(AB3*1000)/1765518</f>
        <v>12.227572870964782</v>
      </c>
      <c r="AC28" s="69">
        <v>12.266207687894436</v>
      </c>
      <c r="AD28" s="122">
        <v>12.518775274407856</v>
      </c>
      <c r="AE28" s="70">
        <v>12.170504417819469</v>
      </c>
    </row>
    <row r="29" spans="2:31" ht="23.1" customHeight="1" x14ac:dyDescent="0.15">
      <c r="B29" s="18"/>
      <c r="C29" s="26" t="s">
        <v>9</v>
      </c>
      <c r="D29" s="71">
        <v>24.9</v>
      </c>
      <c r="E29" s="71">
        <v>16.7</v>
      </c>
      <c r="F29" s="71">
        <v>13.4</v>
      </c>
      <c r="G29" s="71">
        <v>9.1999999999999993</v>
      </c>
      <c r="H29" s="71">
        <v>5.4</v>
      </c>
      <c r="I29" s="71">
        <v>4.5</v>
      </c>
      <c r="J29" s="71">
        <v>3.7</v>
      </c>
      <c r="K29" s="72">
        <v>3.2051282051282048</v>
      </c>
      <c r="L29" s="73">
        <v>3.2356747852688552</v>
      </c>
      <c r="M29" s="74">
        <v>4.5224950076353814</v>
      </c>
      <c r="N29" s="74">
        <v>3.1</v>
      </c>
      <c r="O29" s="74">
        <v>2.6</v>
      </c>
      <c r="P29" s="74">
        <v>2.8</v>
      </c>
      <c r="Q29" s="72">
        <v>2.2000000000000002</v>
      </c>
      <c r="R29" s="75">
        <v>2.8</v>
      </c>
      <c r="S29" s="74">
        <v>2.3498222570344041</v>
      </c>
      <c r="T29" s="74">
        <f>(T4*1000)/16312</f>
        <v>2.0230505149583129</v>
      </c>
      <c r="U29" s="76">
        <f>(U4*1000)/15714</f>
        <v>2.6727758686521574</v>
      </c>
      <c r="V29" s="76">
        <f>(V4*1000)/16212</f>
        <v>1.9121638292622749</v>
      </c>
      <c r="W29" s="76">
        <f>(W4*1000)/15999</f>
        <v>2.4376523532720795</v>
      </c>
      <c r="X29" s="76">
        <f>(X4*1000)/16223</f>
        <v>2.5272760895025579</v>
      </c>
      <c r="Y29" s="76">
        <f>(Y4*1000)/15507</f>
        <v>1.6121751467079384</v>
      </c>
      <c r="Z29" s="76">
        <f>(Z4*1000)/14733</f>
        <v>1.2896219371478992</v>
      </c>
      <c r="AA29" s="76">
        <f>(AA4*1000)/15205</f>
        <v>1.907267346267675</v>
      </c>
      <c r="AB29" s="76">
        <f>(AB4*1000)/14590</f>
        <v>1.6449623029472242</v>
      </c>
      <c r="AC29" s="76">
        <v>2.2799502556307862</v>
      </c>
      <c r="AD29" s="123">
        <v>1.9728189390618152</v>
      </c>
      <c r="AE29" s="77">
        <v>1.737619461337967</v>
      </c>
    </row>
    <row r="30" spans="2:31" ht="23.1" customHeight="1" thickBot="1" x14ac:dyDescent="0.2">
      <c r="B30" s="18"/>
      <c r="C30" s="33" t="s">
        <v>10</v>
      </c>
      <c r="D30" s="78">
        <v>1.6</v>
      </c>
      <c r="E30" s="78">
        <v>1.2</v>
      </c>
      <c r="F30" s="78">
        <v>1</v>
      </c>
      <c r="G30" s="78">
        <v>0.7</v>
      </c>
      <c r="H30" s="78">
        <v>0.6</v>
      </c>
      <c r="I30" s="78">
        <v>0.5</v>
      </c>
      <c r="J30" s="78">
        <v>0.5</v>
      </c>
      <c r="K30" s="79">
        <v>0.32890032890032894</v>
      </c>
      <c r="L30" s="80">
        <v>0.30495774157009675</v>
      </c>
      <c r="M30" s="81">
        <v>0.3220894823143593</v>
      </c>
      <c r="N30" s="81">
        <v>0.2</v>
      </c>
      <c r="O30" s="81">
        <v>0.1</v>
      </c>
      <c r="P30" s="81">
        <v>0.3</v>
      </c>
      <c r="Q30" s="79">
        <v>0.1</v>
      </c>
      <c r="R30" s="80">
        <v>0.3</v>
      </c>
      <c r="S30" s="81">
        <v>0.23646624838414729</v>
      </c>
      <c r="T30" s="81">
        <f>(T5*1000)/64119</f>
        <v>0.18715201422355307</v>
      </c>
      <c r="U30" s="82">
        <f>(U5*1000)/63276</f>
        <v>0.26866426449206648</v>
      </c>
      <c r="V30" s="82">
        <f>(V5*1000)/64234</f>
        <v>0.28022542578696641</v>
      </c>
      <c r="W30" s="82">
        <f>(W5*1000)/64858</f>
        <v>0.18501958123901446</v>
      </c>
      <c r="X30" s="82">
        <f>(X5*1000)/64529</f>
        <v>0.20145980876815076</v>
      </c>
      <c r="Y30" s="82">
        <f>(Y5*1000)/64817</f>
        <v>0.20056466667695202</v>
      </c>
      <c r="Z30" s="82">
        <f>(Z5*1000)/62338</f>
        <v>0.27270685617119572</v>
      </c>
      <c r="AA30" s="82">
        <f>(AA5*1000)/61460</f>
        <v>0.26033192320208265</v>
      </c>
      <c r="AB30" s="82">
        <f>(AB5*1000)/60921</f>
        <v>0.14773230905599055</v>
      </c>
      <c r="AC30" s="82">
        <v>0.13353809174066905</v>
      </c>
      <c r="AD30" s="124">
        <v>0.20191482559606938</v>
      </c>
      <c r="AE30" s="83">
        <v>0.10594155557517436</v>
      </c>
    </row>
    <row r="31" spans="2:31" ht="23.1" customHeight="1" thickTop="1" x14ac:dyDescent="0.15">
      <c r="B31" s="18"/>
      <c r="C31" s="26" t="s">
        <v>11</v>
      </c>
      <c r="D31" s="84">
        <v>6</v>
      </c>
      <c r="E31" s="84">
        <v>4.2</v>
      </c>
      <c r="F31" s="84">
        <v>3.4</v>
      </c>
      <c r="G31" s="71">
        <v>2.2999999999999998</v>
      </c>
      <c r="H31" s="71">
        <v>1.5</v>
      </c>
      <c r="I31" s="71">
        <v>1.2</v>
      </c>
      <c r="J31" s="71">
        <v>1.2</v>
      </c>
      <c r="K31" s="85">
        <v>0.88732167139136653</v>
      </c>
      <c r="L31" s="73">
        <v>0.88516189145119961</v>
      </c>
      <c r="M31" s="86">
        <v>1.1602015703738429</v>
      </c>
      <c r="N31" s="86">
        <v>0.8</v>
      </c>
      <c r="O31" s="86">
        <v>0.6</v>
      </c>
      <c r="P31" s="86">
        <v>0.7</v>
      </c>
      <c r="Q31" s="85">
        <v>0.5</v>
      </c>
      <c r="R31" s="73">
        <v>0.8</v>
      </c>
      <c r="S31" s="86">
        <v>0.67473853881620871</v>
      </c>
      <c r="T31" s="86">
        <f>(T6*1000)/80431</f>
        <v>0.55948577041190584</v>
      </c>
      <c r="U31" s="87">
        <f>(U6*1000)/78990</f>
        <v>0.74692999113811875</v>
      </c>
      <c r="V31" s="87">
        <f>(V6*1000)/80446</f>
        <v>0.6091042438405887</v>
      </c>
      <c r="W31" s="87">
        <f>(W6*1000)/80857</f>
        <v>0.63074316385717999</v>
      </c>
      <c r="X31" s="87">
        <f>(X6*1000)/80752</f>
        <v>0.6687140875767783</v>
      </c>
      <c r="Y31" s="87">
        <f>(Y6*1000)/80324</f>
        <v>0.4730840097604701</v>
      </c>
      <c r="Z31" s="87">
        <f>(Z6*1000)/77071</f>
        <v>0.46710176330915648</v>
      </c>
      <c r="AA31" s="87">
        <f>(AA6*1000)/76665</f>
        <v>0.5869692819409118</v>
      </c>
      <c r="AB31" s="87">
        <f>(AB6*1000)/75511</f>
        <v>0.43702242057448581</v>
      </c>
      <c r="AC31" s="87">
        <v>0.55120862574278717</v>
      </c>
      <c r="AD31" s="125">
        <v>0.53339168729570408</v>
      </c>
      <c r="AE31" s="88">
        <v>0.40406372662202722</v>
      </c>
    </row>
    <row r="32" spans="2:31" ht="23.1" customHeight="1" x14ac:dyDescent="0.15">
      <c r="B32" s="18"/>
      <c r="C32" s="26" t="s">
        <v>12</v>
      </c>
      <c r="D32" s="71">
        <v>0.6</v>
      </c>
      <c r="E32" s="71">
        <v>0.5</v>
      </c>
      <c r="F32" s="71">
        <v>0.4</v>
      </c>
      <c r="G32" s="71">
        <v>0.4</v>
      </c>
      <c r="H32" s="71">
        <v>0.3</v>
      </c>
      <c r="I32" s="71">
        <v>0.2</v>
      </c>
      <c r="J32" s="71">
        <v>0.2</v>
      </c>
      <c r="K32" s="85">
        <v>9.4853661878313289E-2</v>
      </c>
      <c r="L32" s="73">
        <v>0.18245433275377251</v>
      </c>
      <c r="M32" s="86">
        <v>0.13095147156716172</v>
      </c>
      <c r="N32" s="86">
        <v>0.1</v>
      </c>
      <c r="O32" s="86">
        <v>0.1</v>
      </c>
      <c r="P32" s="86">
        <v>0.2</v>
      </c>
      <c r="Q32" s="85">
        <v>0.1</v>
      </c>
      <c r="R32" s="73">
        <v>0.1</v>
      </c>
      <c r="S32" s="86">
        <v>9.4440968492131877E-2</v>
      </c>
      <c r="T32" s="86">
        <f>(T7*1000)/83399</f>
        <v>4.796220578184391E-2</v>
      </c>
      <c r="U32" s="87">
        <f>(U7*1000)/81902</f>
        <v>4.8838856193987937E-2</v>
      </c>
      <c r="V32" s="87">
        <f>(V7*1000)/81404</f>
        <v>0.11055967765711759</v>
      </c>
      <c r="W32" s="87">
        <f>(W7*1000)/80604</f>
        <v>8.6844325343655396E-2</v>
      </c>
      <c r="X32" s="87">
        <f>(X7*1000)/80529</f>
        <v>8.6925207068261123E-2</v>
      </c>
      <c r="Y32" s="87">
        <f>(Y7*1000)/80921</f>
        <v>8.6504121303493525E-2</v>
      </c>
      <c r="Z32" s="87">
        <f>(Z7*1000)/80635</f>
        <v>7.4409375581323253E-2</v>
      </c>
      <c r="AA32" s="87">
        <f>(AA7*1000)/81232</f>
        <v>6.1552097695489465E-2</v>
      </c>
      <c r="AB32" s="87">
        <f>(AB7*1000)/81049</f>
        <v>9.8705721230366819E-2</v>
      </c>
      <c r="AC32" s="87">
        <v>6.2231626112390324E-2</v>
      </c>
      <c r="AD32" s="125">
        <v>8.830133461160028E-2</v>
      </c>
      <c r="AE32" s="88">
        <v>0</v>
      </c>
    </row>
    <row r="33" spans="2:31" ht="23.1" customHeight="1" x14ac:dyDescent="0.15">
      <c r="B33" s="18" t="s">
        <v>14</v>
      </c>
      <c r="C33" s="26" t="s">
        <v>13</v>
      </c>
      <c r="D33" s="71">
        <v>0.3</v>
      </c>
      <c r="E33" s="71">
        <v>0.4</v>
      </c>
      <c r="F33" s="71">
        <v>0.3</v>
      </c>
      <c r="G33" s="71">
        <v>0.1</v>
      </c>
      <c r="H33" s="71">
        <v>0.1</v>
      </c>
      <c r="I33" s="71">
        <v>0.1</v>
      </c>
      <c r="J33" s="71">
        <v>0.1</v>
      </c>
      <c r="K33" s="85">
        <v>0.10152752780469795</v>
      </c>
      <c r="L33" s="73">
        <v>0.11488090679329095</v>
      </c>
      <c r="M33" s="86">
        <v>8.872852030404306E-2</v>
      </c>
      <c r="N33" s="86">
        <v>0.2</v>
      </c>
      <c r="O33" s="86">
        <v>0.1</v>
      </c>
      <c r="P33" s="86">
        <v>0.1</v>
      </c>
      <c r="Q33" s="85">
        <v>0.4</v>
      </c>
      <c r="R33" s="73">
        <v>0</v>
      </c>
      <c r="S33" s="86">
        <v>0.16485146882658724</v>
      </c>
      <c r="T33" s="86">
        <f>(T8*1000)/89716</f>
        <v>7.8023986802799941E-2</v>
      </c>
      <c r="U33" s="87">
        <f>(U8*1000)/88143</f>
        <v>3.4035601238895888E-2</v>
      </c>
      <c r="V33" s="87">
        <f>(V8*1000)/87937</f>
        <v>9.0974220180356391E-2</v>
      </c>
      <c r="W33" s="87">
        <f>(W8*1000)/87021</f>
        <v>0.11491479068270877</v>
      </c>
      <c r="X33" s="87">
        <f>(X8*1000)/85924</f>
        <v>8.1467343233555228E-2</v>
      </c>
      <c r="Y33" s="87">
        <f>(Y8*1000)/84673</f>
        <v>9.4481121490912104E-2</v>
      </c>
      <c r="Z33" s="87">
        <f>(Z8*1000)/82836</f>
        <v>9.6576367762808438E-2</v>
      </c>
      <c r="AA33" s="87">
        <f>(AA8*1000)/81954</f>
        <v>3.660590087122044E-2</v>
      </c>
      <c r="AB33" s="87">
        <f>(AB8*1000)/81040</f>
        <v>1.2339585389930898E-2</v>
      </c>
      <c r="AC33" s="87">
        <v>4.9381496753166589E-2</v>
      </c>
      <c r="AD33" s="125">
        <v>4.9492087452518527E-2</v>
      </c>
      <c r="AE33" s="88">
        <v>0.1111536513974484</v>
      </c>
    </row>
    <row r="34" spans="2:31" ht="23.1" customHeight="1" x14ac:dyDescent="0.15">
      <c r="B34" s="18"/>
      <c r="C34" s="26" t="s">
        <v>15</v>
      </c>
      <c r="D34" s="71">
        <v>0.8</v>
      </c>
      <c r="E34" s="71">
        <v>0.9</v>
      </c>
      <c r="F34" s="71">
        <v>0.7</v>
      </c>
      <c r="G34" s="71">
        <v>0.5</v>
      </c>
      <c r="H34" s="71">
        <v>0.6</v>
      </c>
      <c r="I34" s="71">
        <v>0.3</v>
      </c>
      <c r="J34" s="71">
        <v>0.4</v>
      </c>
      <c r="K34" s="85">
        <v>0.27953783078643307</v>
      </c>
      <c r="L34" s="73">
        <v>0.28172621334357795</v>
      </c>
      <c r="M34" s="86">
        <v>0.33740818604168288</v>
      </c>
      <c r="N34" s="86">
        <v>0.3</v>
      </c>
      <c r="O34" s="86">
        <v>0.3</v>
      </c>
      <c r="P34" s="86">
        <v>0.2</v>
      </c>
      <c r="Q34" s="85">
        <v>0.2</v>
      </c>
      <c r="R34" s="73">
        <v>0.2</v>
      </c>
      <c r="S34" s="86">
        <v>0.31308703819661865</v>
      </c>
      <c r="T34" s="86">
        <f>(T9*1000)/93274</f>
        <v>0.22514312670197484</v>
      </c>
      <c r="U34" s="87">
        <f>(U9*1000)/90045</f>
        <v>0.23321672497084792</v>
      </c>
      <c r="V34" s="87">
        <f>(V9*1000)/91677</f>
        <v>0.20724936461707952</v>
      </c>
      <c r="W34" s="87">
        <f>(W9*1000)/90969</f>
        <v>0.16489133660917454</v>
      </c>
      <c r="X34" s="87">
        <f>(X9*1000)/89612</f>
        <v>0.20086595545239477</v>
      </c>
      <c r="Y34" s="87">
        <f>(Y9*1000)/87849</f>
        <v>0.15936436385160901</v>
      </c>
      <c r="Z34" s="87">
        <f>(Z9*1000)/84541</f>
        <v>0.20108586366378445</v>
      </c>
      <c r="AA34" s="87">
        <f>(AA9*1000)/86055</f>
        <v>0.19754807971646041</v>
      </c>
      <c r="AB34" s="87">
        <f>(AB9*1000)/85648</f>
        <v>0.12843265458621334</v>
      </c>
      <c r="AC34" s="87">
        <v>0.18987491989651817</v>
      </c>
      <c r="AD34" s="125">
        <v>0.21739392987838019</v>
      </c>
      <c r="AE34" s="88">
        <v>0.21161386693222134</v>
      </c>
    </row>
    <row r="35" spans="2:31" ht="23.1" customHeight="1" x14ac:dyDescent="0.15">
      <c r="B35" s="18"/>
      <c r="C35" s="26" t="s">
        <v>16</v>
      </c>
      <c r="D35" s="71">
        <v>1.4</v>
      </c>
      <c r="E35" s="71">
        <v>1.1000000000000001</v>
      </c>
      <c r="F35" s="71">
        <v>0.8</v>
      </c>
      <c r="G35" s="71">
        <v>0.7</v>
      </c>
      <c r="H35" s="71">
        <v>0.6</v>
      </c>
      <c r="I35" s="71">
        <v>0.6</v>
      </c>
      <c r="J35" s="71">
        <v>0.4</v>
      </c>
      <c r="K35" s="85">
        <v>0.61191685237277604</v>
      </c>
      <c r="L35" s="73">
        <v>0.37546698706516229</v>
      </c>
      <c r="M35" s="86">
        <v>0.42629380168812342</v>
      </c>
      <c r="N35" s="86">
        <v>0.5</v>
      </c>
      <c r="O35" s="86">
        <v>0.4</v>
      </c>
      <c r="P35" s="86">
        <v>0.4</v>
      </c>
      <c r="Q35" s="85">
        <v>0.5</v>
      </c>
      <c r="R35" s="73">
        <v>0.4</v>
      </c>
      <c r="S35" s="86">
        <v>0.57338231858820532</v>
      </c>
      <c r="T35" s="86">
        <f>(T10*1000)/91571</f>
        <v>0.41497854124122263</v>
      </c>
      <c r="U35" s="87">
        <f>(U10*1000)/82210</f>
        <v>0.42573896119693466</v>
      </c>
      <c r="V35" s="87">
        <f>(V10*1000)/81307</f>
        <v>0.40586911336047327</v>
      </c>
      <c r="W35" s="87">
        <f>(W10*1000)/79750</f>
        <v>0.42633228840125392</v>
      </c>
      <c r="X35" s="87">
        <f>(X10*1000)/79253</f>
        <v>0.3280632909795213</v>
      </c>
      <c r="Y35" s="87">
        <f>(Y10*1000)/76099</f>
        <v>0.34166020578457013</v>
      </c>
      <c r="Z35" s="87">
        <f>(Z10*1000)/73210</f>
        <v>0.35514274006283297</v>
      </c>
      <c r="AA35" s="87">
        <f>(AA10*1000)/73385</f>
        <v>0.36792259998637322</v>
      </c>
      <c r="AB35" s="87">
        <f>(AB10*1000)/72974</f>
        <v>0.4111053251843122</v>
      </c>
      <c r="AC35" s="87">
        <v>0.21629805872492294</v>
      </c>
      <c r="AD35" s="125">
        <v>0.35845148956507888</v>
      </c>
      <c r="AE35" s="88">
        <v>0.44763364577257497</v>
      </c>
    </row>
    <row r="36" spans="2:31" ht="23.1" customHeight="1" x14ac:dyDescent="0.15">
      <c r="B36" s="18" t="s">
        <v>19</v>
      </c>
      <c r="C36" s="26" t="s">
        <v>17</v>
      </c>
      <c r="D36" s="71">
        <v>1.6</v>
      </c>
      <c r="E36" s="71">
        <v>1.6</v>
      </c>
      <c r="F36" s="71">
        <v>0.9</v>
      </c>
      <c r="G36" s="71">
        <v>0.8</v>
      </c>
      <c r="H36" s="71">
        <v>0.6</v>
      </c>
      <c r="I36" s="71">
        <v>0.5</v>
      </c>
      <c r="J36" s="71">
        <v>0.5</v>
      </c>
      <c r="K36" s="85">
        <v>0.5347498262063064</v>
      </c>
      <c r="L36" s="73">
        <v>0.52993702581676549</v>
      </c>
      <c r="M36" s="86">
        <v>0.46413652754471779</v>
      </c>
      <c r="N36" s="86">
        <v>0.5</v>
      </c>
      <c r="O36" s="86">
        <v>0.4</v>
      </c>
      <c r="P36" s="86">
        <v>0.5</v>
      </c>
      <c r="Q36" s="85">
        <v>0.6</v>
      </c>
      <c r="R36" s="73">
        <v>0.6</v>
      </c>
      <c r="S36" s="86">
        <v>0.50748803778196649</v>
      </c>
      <c r="T36" s="86">
        <f>(T11*1000)/95184</f>
        <v>0.5252983694738611</v>
      </c>
      <c r="U36" s="87">
        <f>(U11*1000)/93723</f>
        <v>0.43745932161795931</v>
      </c>
      <c r="V36" s="87">
        <f>(V11*1000)/94560</f>
        <v>0.47588832487309646</v>
      </c>
      <c r="W36" s="87">
        <f>(W11*1000)/91806</f>
        <v>0.4901640415659107</v>
      </c>
      <c r="X36" s="87">
        <f>(X11*1000)/88737</f>
        <v>0.45077025367096024</v>
      </c>
      <c r="Y36" s="87">
        <f>(Y11*1000)/83551</f>
        <v>0.44284329331785377</v>
      </c>
      <c r="Z36" s="87">
        <f>(Z11*1000)/82028</f>
        <v>0.32915589798605355</v>
      </c>
      <c r="AA36" s="87">
        <f>(AA11*1000)/80660</f>
        <v>0.43392015869080092</v>
      </c>
      <c r="AB36" s="87">
        <f>(AB11*1000)/77944</f>
        <v>0.47469978446063843</v>
      </c>
      <c r="AC36" s="87">
        <v>0.29280238500851791</v>
      </c>
      <c r="AD36" s="125">
        <v>0.27497834545529537</v>
      </c>
      <c r="AE36" s="88">
        <v>0.40309035942223714</v>
      </c>
    </row>
    <row r="37" spans="2:31" ht="23.1" customHeight="1" x14ac:dyDescent="0.15">
      <c r="B37" s="18"/>
      <c r="C37" s="26" t="s">
        <v>18</v>
      </c>
      <c r="D37" s="71">
        <v>1.8</v>
      </c>
      <c r="E37" s="71">
        <v>1.7</v>
      </c>
      <c r="F37" s="71">
        <v>1.1000000000000001</v>
      </c>
      <c r="G37" s="71">
        <v>0.9</v>
      </c>
      <c r="H37" s="71">
        <v>0.8</v>
      </c>
      <c r="I37" s="71">
        <v>0.6</v>
      </c>
      <c r="J37" s="71">
        <v>0.7</v>
      </c>
      <c r="K37" s="85">
        <v>0.51122278703230351</v>
      </c>
      <c r="L37" s="73">
        <v>0.7497656982193065</v>
      </c>
      <c r="M37" s="86">
        <v>0.70487396853442597</v>
      </c>
      <c r="N37" s="86">
        <v>0.7</v>
      </c>
      <c r="O37" s="86">
        <v>0.4</v>
      </c>
      <c r="P37" s="86">
        <v>0.7</v>
      </c>
      <c r="Q37" s="85">
        <v>0.5</v>
      </c>
      <c r="R37" s="73">
        <v>0.6</v>
      </c>
      <c r="S37" s="86">
        <v>0.53227123808125398</v>
      </c>
      <c r="T37" s="86">
        <f>(T12*1000)/105708</f>
        <v>0.48246111930979679</v>
      </c>
      <c r="U37" s="87">
        <f>(U12*1000)/103869</f>
        <v>0.61616074093329098</v>
      </c>
      <c r="V37" s="87">
        <f>(V12*1000)/103255</f>
        <v>0.52297709554016758</v>
      </c>
      <c r="W37" s="87">
        <f>(W12*1000)/101289</f>
        <v>0.55287346108659385</v>
      </c>
      <c r="X37" s="87">
        <f>(X12*1000)/99342</f>
        <v>0.50331179158865336</v>
      </c>
      <c r="Y37" s="87">
        <f>(Y12*1000)/98755</f>
        <v>0.4860513391727001</v>
      </c>
      <c r="Z37" s="87">
        <f>(Z12*1000)/95470</f>
        <v>0.60752068712684615</v>
      </c>
      <c r="AA37" s="87">
        <f>(AA12*1000)/95548</f>
        <v>0.50236530330305185</v>
      </c>
      <c r="AB37" s="87">
        <f>(AB12*1000)/93270</f>
        <v>0.43958400343089954</v>
      </c>
      <c r="AC37" s="87">
        <v>0.35112359550561795</v>
      </c>
      <c r="AD37" s="125">
        <v>0.30780104652355816</v>
      </c>
      <c r="AE37" s="88">
        <v>0.36509245083029085</v>
      </c>
    </row>
    <row r="38" spans="2:31" ht="23.1" customHeight="1" x14ac:dyDescent="0.15">
      <c r="B38" s="18"/>
      <c r="C38" s="26" t="s">
        <v>20</v>
      </c>
      <c r="D38" s="71">
        <v>2.4</v>
      </c>
      <c r="E38" s="71">
        <v>2.2000000000000002</v>
      </c>
      <c r="F38" s="71">
        <v>1.8</v>
      </c>
      <c r="G38" s="71">
        <v>1.3</v>
      </c>
      <c r="H38" s="71">
        <v>1.2</v>
      </c>
      <c r="I38" s="71">
        <v>1</v>
      </c>
      <c r="J38" s="71">
        <v>1</v>
      </c>
      <c r="K38" s="85">
        <v>0.83154821623869046</v>
      </c>
      <c r="L38" s="73">
        <v>0.77471042835818071</v>
      </c>
      <c r="M38" s="86">
        <v>0.95143893363477938</v>
      </c>
      <c r="N38" s="86">
        <v>0.7</v>
      </c>
      <c r="O38" s="86">
        <v>1.1000000000000001</v>
      </c>
      <c r="P38" s="86">
        <v>0.8</v>
      </c>
      <c r="Q38" s="85">
        <v>0.8</v>
      </c>
      <c r="R38" s="73">
        <v>0.9</v>
      </c>
      <c r="S38" s="86">
        <v>0.74303175531964294</v>
      </c>
      <c r="T38" s="86">
        <f>(T13*1000)/109761</f>
        <v>0.85640619163455145</v>
      </c>
      <c r="U38" s="87">
        <f>(U13*1000)/111303</f>
        <v>0.67383628473626045</v>
      </c>
      <c r="V38" s="87">
        <f>(V13*1000)/114287</f>
        <v>0.92748956574238539</v>
      </c>
      <c r="W38" s="87">
        <f>(W13*1000)/113594</f>
        <v>0.71306583094177511</v>
      </c>
      <c r="X38" s="87">
        <f>(X13*1000)/111613</f>
        <v>0.65404567568294014</v>
      </c>
      <c r="Y38" s="87">
        <f>(Y13*1000)/109280</f>
        <v>0.69546120058565153</v>
      </c>
      <c r="Z38" s="87">
        <f>(Z13*1000)/105461</f>
        <v>0.75857425967893344</v>
      </c>
      <c r="AA38" s="87">
        <f>(AA13*1000)/104288</f>
        <v>0.71916231972997857</v>
      </c>
      <c r="AB38" s="87">
        <f>(AB13*1000)/102433</f>
        <v>0.51741138109788842</v>
      </c>
      <c r="AC38" s="87">
        <v>0.54866673982223202</v>
      </c>
      <c r="AD38" s="125">
        <v>0.56497745134636146</v>
      </c>
      <c r="AE38" s="88">
        <v>0.63825260619814195</v>
      </c>
    </row>
    <row r="39" spans="2:31" ht="23.1" customHeight="1" x14ac:dyDescent="0.15">
      <c r="B39" s="18" t="s">
        <v>38</v>
      </c>
      <c r="C39" s="26" t="s">
        <v>21</v>
      </c>
      <c r="D39" s="71">
        <v>3.3</v>
      </c>
      <c r="E39" s="71">
        <v>3</v>
      </c>
      <c r="F39" s="71">
        <v>2.4</v>
      </c>
      <c r="G39" s="71">
        <v>2</v>
      </c>
      <c r="H39" s="71">
        <v>1.7</v>
      </c>
      <c r="I39" s="71">
        <v>1.5</v>
      </c>
      <c r="J39" s="71">
        <v>1.6</v>
      </c>
      <c r="K39" s="85">
        <v>1.3880789480168541</v>
      </c>
      <c r="L39" s="73">
        <v>1.2969508938789005</v>
      </c>
      <c r="M39" s="86">
        <v>1.307965683110893</v>
      </c>
      <c r="N39" s="86">
        <v>1.4</v>
      </c>
      <c r="O39" s="86">
        <v>1.3</v>
      </c>
      <c r="P39" s="86">
        <v>1.3</v>
      </c>
      <c r="Q39" s="85">
        <v>1.2</v>
      </c>
      <c r="R39" s="73">
        <v>1.2</v>
      </c>
      <c r="S39" s="86">
        <v>1.3093103350126662</v>
      </c>
      <c r="T39" s="86">
        <f>(T14*1000)/104782</f>
        <v>1.1738657402989063</v>
      </c>
      <c r="U39" s="87">
        <f>(U14*1000)/102693</f>
        <v>1.2269580205077268</v>
      </c>
      <c r="V39" s="87">
        <f>(V14*1000)/107823</f>
        <v>1.196405219665563</v>
      </c>
      <c r="W39" s="87">
        <f>(W14*1000)/107864</f>
        <v>1.1403248535192465</v>
      </c>
      <c r="X39" s="87">
        <f>(X14*1000)/109978</f>
        <v>0.96382912946225607</v>
      </c>
      <c r="Y39" s="87">
        <f>(Y14*1000)/112484</f>
        <v>0.89790547989047331</v>
      </c>
      <c r="Z39" s="87">
        <f>(Z14*1000)/112453</f>
        <v>0.96040123429343816</v>
      </c>
      <c r="AA39" s="87">
        <f>(AA14*1000)/114875</f>
        <v>1.001088139281828</v>
      </c>
      <c r="AB39" s="87">
        <f>(AB14*1000)/113934</f>
        <v>1.0181333052468973</v>
      </c>
      <c r="AC39" s="87">
        <v>0.84899505795508368</v>
      </c>
      <c r="AD39" s="125">
        <v>0.92409603279168495</v>
      </c>
      <c r="AE39" s="88">
        <v>0.84150953864933087</v>
      </c>
    </row>
    <row r="40" spans="2:31" ht="23.1" customHeight="1" x14ac:dyDescent="0.15">
      <c r="B40" s="18"/>
      <c r="C40" s="26" t="s">
        <v>22</v>
      </c>
      <c r="D40" s="71">
        <v>4.9000000000000004</v>
      </c>
      <c r="E40" s="71">
        <v>4.3</v>
      </c>
      <c r="F40" s="71">
        <v>3.4</v>
      </c>
      <c r="G40" s="71">
        <v>3.1</v>
      </c>
      <c r="H40" s="71">
        <v>2.9</v>
      </c>
      <c r="I40" s="71">
        <v>2.4</v>
      </c>
      <c r="J40" s="71">
        <v>2</v>
      </c>
      <c r="K40" s="85">
        <v>2.0336971311119472</v>
      </c>
      <c r="L40" s="73">
        <v>2.068074749329929</v>
      </c>
      <c r="M40" s="86">
        <v>2.1237346726813313</v>
      </c>
      <c r="N40" s="86">
        <v>2.2999999999999998</v>
      </c>
      <c r="O40" s="86">
        <v>2.2999999999999998</v>
      </c>
      <c r="P40" s="86">
        <v>2</v>
      </c>
      <c r="Q40" s="85">
        <v>2.2000000000000002</v>
      </c>
      <c r="R40" s="73">
        <v>1.9</v>
      </c>
      <c r="S40" s="86">
        <v>1.9633275292278169</v>
      </c>
      <c r="T40" s="86">
        <f>(T15*1000)/109735</f>
        <v>1.9957169544812503</v>
      </c>
      <c r="U40" s="87">
        <f>(U15*1000)/108344</f>
        <v>1.8459720889020157</v>
      </c>
      <c r="V40" s="87">
        <f>(V15*1000)/105517</f>
        <v>1.810134859785627</v>
      </c>
      <c r="W40" s="87">
        <f>(W15*1000)/106108</f>
        <v>1.7152335356429298</v>
      </c>
      <c r="X40" s="87">
        <f>(X15*1000)/105843</f>
        <v>1.6250484207741656</v>
      </c>
      <c r="Y40" s="87">
        <f>(Y15*1000)/105423</f>
        <v>1.7832920709902014</v>
      </c>
      <c r="Z40" s="87">
        <f>(Z15*1000)/102699</f>
        <v>1.6747972229525117</v>
      </c>
      <c r="AA40" s="87">
        <f>(AA15*1000)/107337</f>
        <v>1.5465310191266759</v>
      </c>
      <c r="AB40" s="87">
        <f>(AB15*1000)/107496</f>
        <v>1.4977301480985339</v>
      </c>
      <c r="AC40" s="87">
        <v>1.5799231043205872</v>
      </c>
      <c r="AD40" s="125">
        <v>1.5410391262666534</v>
      </c>
      <c r="AE40" s="88">
        <v>1.463089835468101</v>
      </c>
    </row>
    <row r="41" spans="2:31" ht="23.1" customHeight="1" x14ac:dyDescent="0.15">
      <c r="B41" s="18"/>
      <c r="C41" s="26" t="s">
        <v>23</v>
      </c>
      <c r="D41" s="71">
        <v>7.3</v>
      </c>
      <c r="E41" s="71">
        <v>6.8</v>
      </c>
      <c r="F41" s="71">
        <v>5.7</v>
      </c>
      <c r="G41" s="71">
        <v>4.7</v>
      </c>
      <c r="H41" s="71">
        <v>4.2</v>
      </c>
      <c r="I41" s="71">
        <v>3.6</v>
      </c>
      <c r="J41" s="71">
        <v>3.6</v>
      </c>
      <c r="K41" s="85">
        <v>3.5229626706875412</v>
      </c>
      <c r="L41" s="73">
        <v>3.05523068634279</v>
      </c>
      <c r="M41" s="86">
        <v>3.1874933869431805</v>
      </c>
      <c r="N41" s="86">
        <v>3.2</v>
      </c>
      <c r="O41" s="86">
        <v>3.3</v>
      </c>
      <c r="P41" s="86">
        <v>3</v>
      </c>
      <c r="Q41" s="85">
        <v>3.3</v>
      </c>
      <c r="R41" s="73">
        <v>3.1</v>
      </c>
      <c r="S41" s="86">
        <v>3.1057403762382627</v>
      </c>
      <c r="T41" s="86">
        <f>(T16*1000)/122125</f>
        <v>2.8004094165813713</v>
      </c>
      <c r="U41" s="87">
        <f>(U16*1000)/118244</f>
        <v>3.0276377659754408</v>
      </c>
      <c r="V41" s="87">
        <f>(V16*1000)/116112</f>
        <v>2.7731845115061322</v>
      </c>
      <c r="W41" s="87">
        <f>(W16*1000)/114295</f>
        <v>2.7035303381600246</v>
      </c>
      <c r="X41" s="87">
        <f>(X16*1000)/111985</f>
        <v>2.4735455641380542</v>
      </c>
      <c r="Y41" s="87">
        <f>(Y16*1000)/109344</f>
        <v>2.4692712906057945</v>
      </c>
      <c r="Z41" s="87">
        <f>(Z16*1000)/107623</f>
        <v>2.4715906451223253</v>
      </c>
      <c r="AA41" s="87">
        <f>(AA16*1000)/104189</f>
        <v>2.6106402787242415</v>
      </c>
      <c r="AB41" s="87">
        <f>(AB16*1000)/104940</f>
        <v>2.0869068038879361</v>
      </c>
      <c r="AC41" s="87">
        <v>1.999502516120391</v>
      </c>
      <c r="AD41" s="125">
        <v>2.3919538131970528</v>
      </c>
      <c r="AE41" s="88">
        <v>2.4197841552533514</v>
      </c>
    </row>
    <row r="42" spans="2:31" ht="23.1" customHeight="1" x14ac:dyDescent="0.15">
      <c r="B42" s="89" t="s">
        <v>39</v>
      </c>
      <c r="C42" s="26" t="s">
        <v>25</v>
      </c>
      <c r="D42" s="71">
        <v>12.4</v>
      </c>
      <c r="E42" s="71">
        <v>10.5</v>
      </c>
      <c r="F42" s="71">
        <v>8.1999999999999993</v>
      </c>
      <c r="G42" s="71">
        <v>7.1</v>
      </c>
      <c r="H42" s="71">
        <v>6.3</v>
      </c>
      <c r="I42" s="71">
        <v>5.8</v>
      </c>
      <c r="J42" s="71">
        <v>5</v>
      </c>
      <c r="K42" s="85">
        <v>4.7478066216557746</v>
      </c>
      <c r="L42" s="73">
        <v>4.821186489221545</v>
      </c>
      <c r="M42" s="86">
        <v>4.8197537969049273</v>
      </c>
      <c r="N42" s="86">
        <v>4.8</v>
      </c>
      <c r="O42" s="86">
        <v>4.8</v>
      </c>
      <c r="P42" s="86">
        <v>4.7</v>
      </c>
      <c r="Q42" s="85">
        <v>4.4000000000000004</v>
      </c>
      <c r="R42" s="73">
        <v>4.4000000000000004</v>
      </c>
      <c r="S42" s="86">
        <v>4.6878973886624369</v>
      </c>
      <c r="T42" s="86">
        <f>(T17*1000)/139090</f>
        <v>3.9902221583147601</v>
      </c>
      <c r="U42" s="87">
        <f>(U17*1000)/134198</f>
        <v>4.6200390467816215</v>
      </c>
      <c r="V42" s="87">
        <f>(V17*1000)/131817</f>
        <v>4.240727675489504</v>
      </c>
      <c r="W42" s="87">
        <f>(W17*1000)/126859</f>
        <v>4.1069218581259506</v>
      </c>
      <c r="X42" s="87">
        <f>(X17*1000)/123337</f>
        <v>3.8755604563107582</v>
      </c>
      <c r="Y42" s="87">
        <f>(Y17*1000)/121551</f>
        <v>3.8255547054322876</v>
      </c>
      <c r="Z42" s="87">
        <f>(Z17*1000)/117383</f>
        <v>3.6121073750031947</v>
      </c>
      <c r="AA42" s="87">
        <f>(AA17*1000)/115042</f>
        <v>3.3466038490290502</v>
      </c>
      <c r="AB42" s="87">
        <f>(AB17*1000)/113226</f>
        <v>3.5857488562697615</v>
      </c>
      <c r="AC42" s="87">
        <v>3.6091962319991335</v>
      </c>
      <c r="AD42" s="125">
        <v>3.4392537189242165</v>
      </c>
      <c r="AE42" s="88">
        <v>3.6320173447358912</v>
      </c>
    </row>
    <row r="43" spans="2:31" ht="23.1" customHeight="1" x14ac:dyDescent="0.15">
      <c r="B43" s="18" t="s">
        <v>40</v>
      </c>
      <c r="C43" s="26" t="s">
        <v>26</v>
      </c>
      <c r="D43" s="71">
        <v>19.100000000000001</v>
      </c>
      <c r="E43" s="71">
        <v>15.6</v>
      </c>
      <c r="F43" s="71">
        <v>12.3</v>
      </c>
      <c r="G43" s="71">
        <v>10.5</v>
      </c>
      <c r="H43" s="71">
        <v>8.6999999999999993</v>
      </c>
      <c r="I43" s="71">
        <v>8.6999999999999993</v>
      </c>
      <c r="J43" s="71">
        <v>7.9</v>
      </c>
      <c r="K43" s="85">
        <v>7.2074957956274526</v>
      </c>
      <c r="L43" s="73">
        <v>6.4203448029186632</v>
      </c>
      <c r="M43" s="86">
        <v>6.9397073135237886</v>
      </c>
      <c r="N43" s="86">
        <v>6.3</v>
      </c>
      <c r="O43" s="86">
        <v>6.1</v>
      </c>
      <c r="P43" s="86">
        <v>6.6</v>
      </c>
      <c r="Q43" s="85">
        <v>7</v>
      </c>
      <c r="R43" s="73">
        <v>6.1</v>
      </c>
      <c r="S43" s="86">
        <v>6.0874610074579802</v>
      </c>
      <c r="T43" s="86">
        <f>(T18*1000)/127918</f>
        <v>5.8944011007051396</v>
      </c>
      <c r="U43" s="87">
        <f>(U18*1000)/138552</f>
        <v>6.0771407125122696</v>
      </c>
      <c r="V43" s="87">
        <f>(V18*1000)/150456</f>
        <v>5.908704205880789</v>
      </c>
      <c r="W43" s="87">
        <f>(W18*1000)/149147</f>
        <v>6.3293261010948934</v>
      </c>
      <c r="X43" s="87">
        <f>(X18*1000)/145235</f>
        <v>5.8456983509484628</v>
      </c>
      <c r="Y43" s="87">
        <f>(Y18*1000)/138646</f>
        <v>6.1235087921757572</v>
      </c>
      <c r="Z43" s="87">
        <f>(Z18*1000)/133649</f>
        <v>5.5294091238991685</v>
      </c>
      <c r="AA43" s="87">
        <f>(AA18*1000)/130623</f>
        <v>5.779992803717569</v>
      </c>
      <c r="AB43" s="87">
        <f>(AB18*1000)/125582</f>
        <v>5.6138618591836407</v>
      </c>
      <c r="AC43" s="87">
        <v>5.3365636458878996</v>
      </c>
      <c r="AD43" s="125">
        <v>5.378268796882935</v>
      </c>
      <c r="AE43" s="88">
        <v>4.8624712594737289</v>
      </c>
    </row>
    <row r="44" spans="2:31" ht="23.1" customHeight="1" x14ac:dyDescent="0.15">
      <c r="B44" s="18" t="s">
        <v>41</v>
      </c>
      <c r="C44" s="26" t="s">
        <v>27</v>
      </c>
      <c r="D44" s="71">
        <v>30.7</v>
      </c>
      <c r="E44" s="71">
        <v>29.2</v>
      </c>
      <c r="F44" s="71">
        <v>21.1</v>
      </c>
      <c r="G44" s="71">
        <v>18.3</v>
      </c>
      <c r="H44" s="71">
        <v>15.2</v>
      </c>
      <c r="I44" s="71">
        <v>12.2</v>
      </c>
      <c r="J44" s="71">
        <v>13</v>
      </c>
      <c r="K44" s="85">
        <v>10.784129852858433</v>
      </c>
      <c r="L44" s="73">
        <v>10.441614831917569</v>
      </c>
      <c r="M44" s="86">
        <v>9.8543827431911648</v>
      </c>
      <c r="N44" s="86">
        <v>10.199999999999999</v>
      </c>
      <c r="O44" s="86">
        <v>9.6</v>
      </c>
      <c r="P44" s="86">
        <v>9.8000000000000007</v>
      </c>
      <c r="Q44" s="85">
        <v>9.3000000000000007</v>
      </c>
      <c r="R44" s="73">
        <v>9</v>
      </c>
      <c r="S44" s="86">
        <v>9.6944250058315831</v>
      </c>
      <c r="T44" s="86">
        <f>(T19*1000)/109585</f>
        <v>8.8150750558926863</v>
      </c>
      <c r="U44" s="87">
        <f>(U19*1000)/106274</f>
        <v>9.0144343865856182</v>
      </c>
      <c r="V44" s="87">
        <f>(V19*1000)/101814</f>
        <v>9.1146600663955848</v>
      </c>
      <c r="W44" s="87">
        <f>(W19*1000)/108305</f>
        <v>9.2331840635243072</v>
      </c>
      <c r="X44" s="87">
        <f>(X19*1000)/116970</f>
        <v>8.1302898179020264</v>
      </c>
      <c r="Y44" s="87">
        <f>(Y19*1000)/125645</f>
        <v>8.8344144215846239</v>
      </c>
      <c r="Z44" s="87">
        <f>(Z19*1000)/135616</f>
        <v>8.5093204341670603</v>
      </c>
      <c r="AA44" s="87">
        <f>(AA19*1000)/146776</f>
        <v>8.7957159208589957</v>
      </c>
      <c r="AB44" s="87">
        <f>(AB19*1000)/145667</f>
        <v>8.8764098937988702</v>
      </c>
      <c r="AC44" s="87">
        <v>8.2797336944256372</v>
      </c>
      <c r="AD44" s="125">
        <v>8.4845889146519777</v>
      </c>
      <c r="AE44" s="88">
        <v>8.064516129032258</v>
      </c>
    </row>
    <row r="45" spans="2:31" ht="23.1" customHeight="1" x14ac:dyDescent="0.15">
      <c r="B45" s="18" t="s">
        <v>42</v>
      </c>
      <c r="C45" s="26" t="s">
        <v>28</v>
      </c>
      <c r="D45" s="71">
        <v>50.5</v>
      </c>
      <c r="E45" s="71">
        <v>47</v>
      </c>
      <c r="F45" s="71">
        <v>37.6</v>
      </c>
      <c r="G45" s="71">
        <v>29.9</v>
      </c>
      <c r="H45" s="71">
        <v>16.7</v>
      </c>
      <c r="I45" s="71">
        <v>22.5</v>
      </c>
      <c r="J45" s="71">
        <v>18.600000000000001</v>
      </c>
      <c r="K45" s="85">
        <v>17.320153242207823</v>
      </c>
      <c r="L45" s="73">
        <v>18.00727054115746</v>
      </c>
      <c r="M45" s="86">
        <v>17.003680731325158</v>
      </c>
      <c r="N45" s="86">
        <v>16.8</v>
      </c>
      <c r="O45" s="86">
        <v>16.399999999999999</v>
      </c>
      <c r="P45" s="86">
        <v>16.5</v>
      </c>
      <c r="Q45" s="85">
        <v>15.9</v>
      </c>
      <c r="R45" s="73">
        <v>15.8</v>
      </c>
      <c r="S45" s="86">
        <v>14.59148489270147</v>
      </c>
      <c r="T45" s="86">
        <f>(T20*1000)/104948</f>
        <v>13.59721004688036</v>
      </c>
      <c r="U45" s="87">
        <f>(U20*1000)/102470</f>
        <v>13.701571191568265</v>
      </c>
      <c r="V45" s="87">
        <f>(V20*1000)/103490</f>
        <v>14.020678326408349</v>
      </c>
      <c r="W45" s="87">
        <f>(W20*1000)/102273</f>
        <v>13.747518895505168</v>
      </c>
      <c r="X45" s="87">
        <f>(X20*1000)/102223</f>
        <v>12.971640433170617</v>
      </c>
      <c r="Y45" s="87">
        <f>(Y20*1000)/104042</f>
        <v>13.042809634570654</v>
      </c>
      <c r="Z45" s="87">
        <f>(Z20*1000)/101326</f>
        <v>13.816789372915146</v>
      </c>
      <c r="AA45" s="87">
        <f>(AA20*1000)/96911</f>
        <v>12.784926375746819</v>
      </c>
      <c r="AB45" s="87">
        <f>(AB20*1000)/103050</f>
        <v>12.906356137797186</v>
      </c>
      <c r="AC45" s="87">
        <v>12.687915030506707</v>
      </c>
      <c r="AD45" s="125">
        <v>13.107022631070226</v>
      </c>
      <c r="AE45" s="88">
        <v>12.307455329636475</v>
      </c>
    </row>
    <row r="46" spans="2:31" ht="23.1" customHeight="1" x14ac:dyDescent="0.15">
      <c r="B46" s="18" t="s">
        <v>43</v>
      </c>
      <c r="C46" s="26" t="s">
        <v>30</v>
      </c>
      <c r="D46" s="71">
        <v>86.3</v>
      </c>
      <c r="E46" s="71">
        <v>78.3</v>
      </c>
      <c r="F46" s="71">
        <v>64.8</v>
      </c>
      <c r="G46" s="71">
        <v>52.3</v>
      </c>
      <c r="H46" s="71">
        <v>45</v>
      </c>
      <c r="I46" s="71">
        <v>39</v>
      </c>
      <c r="J46" s="71">
        <v>33.6</v>
      </c>
      <c r="K46" s="85">
        <v>28.467348524410593</v>
      </c>
      <c r="L46" s="73">
        <v>27.649658303349351</v>
      </c>
      <c r="M46" s="86">
        <v>28.284018201556833</v>
      </c>
      <c r="N46" s="86">
        <v>26.9</v>
      </c>
      <c r="O46" s="86">
        <v>27.4</v>
      </c>
      <c r="P46" s="86">
        <v>27</v>
      </c>
      <c r="Q46" s="85">
        <v>26.8</v>
      </c>
      <c r="R46" s="73">
        <v>26.7</v>
      </c>
      <c r="S46" s="86">
        <v>26.113827419010541</v>
      </c>
      <c r="T46" s="86">
        <f>(T21*1000)/98776</f>
        <v>25.876731189762694</v>
      </c>
      <c r="U46" s="87">
        <f>(U21*1000)/99222</f>
        <v>23.31136239946786</v>
      </c>
      <c r="V46" s="87">
        <f>(V21*1000)/99997</f>
        <v>25.280758422752683</v>
      </c>
      <c r="W46" s="87">
        <f>(W21*1000)/100157</f>
        <v>24.072206635582138</v>
      </c>
      <c r="X46" s="87">
        <f>(X21*1000)/98542</f>
        <v>23.30985772563983</v>
      </c>
      <c r="Y46" s="87">
        <f>(Y21*1000)/95887</f>
        <v>22.307507795634443</v>
      </c>
      <c r="Z46" s="87">
        <f>(Z21*1000)/94349</f>
        <v>22.289584415309118</v>
      </c>
      <c r="AA46" s="87">
        <f>(AA21*1000)/95252</f>
        <v>21.973291899382691</v>
      </c>
      <c r="AB46" s="87">
        <f>(AB21*1000)/94171</f>
        <v>21.291055632838134</v>
      </c>
      <c r="AC46" s="87">
        <v>20.972486221872977</v>
      </c>
      <c r="AD46" s="125">
        <v>19.691540738432778</v>
      </c>
      <c r="AE46" s="88">
        <v>19.840208776752196</v>
      </c>
    </row>
    <row r="47" spans="2:31" ht="23.1" customHeight="1" x14ac:dyDescent="0.15">
      <c r="B47" s="90" t="s">
        <v>44</v>
      </c>
      <c r="C47" s="26" t="s">
        <v>31</v>
      </c>
      <c r="D47" s="71">
        <v>144.19999999999999</v>
      </c>
      <c r="E47" s="71">
        <v>122.6</v>
      </c>
      <c r="F47" s="71">
        <v>109.9</v>
      </c>
      <c r="G47" s="71">
        <v>91.8</v>
      </c>
      <c r="H47" s="71">
        <v>79.099999999999994</v>
      </c>
      <c r="I47" s="71">
        <v>68.400000000000006</v>
      </c>
      <c r="J47" s="71">
        <v>60.8</v>
      </c>
      <c r="K47" s="85">
        <v>50.062478925759173</v>
      </c>
      <c r="L47" s="73">
        <v>48.356528897141871</v>
      </c>
      <c r="M47" s="86">
        <v>47.161731207289293</v>
      </c>
      <c r="N47" s="86">
        <v>48.6</v>
      </c>
      <c r="O47" s="86">
        <v>46.6</v>
      </c>
      <c r="P47" s="86">
        <v>47</v>
      </c>
      <c r="Q47" s="85">
        <v>44.4</v>
      </c>
      <c r="R47" s="73">
        <v>44.7</v>
      </c>
      <c r="S47" s="86">
        <v>44.685846166089689</v>
      </c>
      <c r="T47" s="86">
        <f>(T22*1000)/77747</f>
        <v>43.229963857126322</v>
      </c>
      <c r="U47" s="87">
        <f>(U22*1000)/79040</f>
        <v>44.395242914979754</v>
      </c>
      <c r="V47" s="87">
        <f>(V22*1000)/80762</f>
        <v>43.931551967509471</v>
      </c>
      <c r="W47" s="87">
        <f>(W22*1000)/82163</f>
        <v>44.582111169261104</v>
      </c>
      <c r="X47" s="87">
        <f>(X22*1000)/83449</f>
        <v>42.385169384893764</v>
      </c>
      <c r="Y47" s="87">
        <f>(Y22*1000)/83667</f>
        <v>42.023736957223278</v>
      </c>
      <c r="Z47" s="87">
        <f>(Z22*1000)/84715</f>
        <v>41.444844478545711</v>
      </c>
      <c r="AA47" s="87">
        <f>(AA22*1000)/85426</f>
        <v>40.631657809097931</v>
      </c>
      <c r="AB47" s="87">
        <f>(AB22*1000)/86025</f>
        <v>39.232781168265042</v>
      </c>
      <c r="AC47" s="87">
        <v>37.175639894086494</v>
      </c>
      <c r="AD47" s="125">
        <v>38.463849268814364</v>
      </c>
      <c r="AE47" s="88">
        <v>35.587623822917941</v>
      </c>
    </row>
    <row r="48" spans="2:31" ht="23.1" customHeight="1" x14ac:dyDescent="0.15">
      <c r="B48" s="18"/>
      <c r="C48" s="91" t="s">
        <v>32</v>
      </c>
      <c r="D48" s="92">
        <v>232.1</v>
      </c>
      <c r="E48" s="92">
        <v>227.9</v>
      </c>
      <c r="F48" s="92">
        <v>205.1</v>
      </c>
      <c r="G48" s="92">
        <v>180.8</v>
      </c>
      <c r="H48" s="92">
        <v>148.69999999999999</v>
      </c>
      <c r="I48" s="92">
        <v>150.4</v>
      </c>
      <c r="J48" s="92">
        <v>132.6</v>
      </c>
      <c r="K48" s="93">
        <v>117.54773347187947</v>
      </c>
      <c r="L48" s="94">
        <v>114.39752832131823</v>
      </c>
      <c r="M48" s="95">
        <v>115.74119445696701</v>
      </c>
      <c r="N48" s="95">
        <v>118.3</v>
      </c>
      <c r="O48" s="95">
        <v>113.7</v>
      </c>
      <c r="P48" s="95">
        <v>116.7</v>
      </c>
      <c r="Q48" s="93">
        <v>115.66397592895159</v>
      </c>
      <c r="R48" s="94">
        <v>114.12901138517</v>
      </c>
      <c r="S48" s="95">
        <v>115.6</v>
      </c>
      <c r="T48" s="95">
        <f>(T23*1000)/72235</f>
        <v>109.25451650861771</v>
      </c>
      <c r="U48" s="96">
        <f>(U23*1000)/75255</f>
        <v>114.05222244369145</v>
      </c>
      <c r="V48" s="96">
        <f>(V23*1000)/79841</f>
        <v>114.47752407910723</v>
      </c>
      <c r="W48" s="96">
        <f>(W23*1000)/84140</f>
        <v>115.36724506774424</v>
      </c>
      <c r="X48" s="96">
        <f>(X23*1000)/88171</f>
        <v>113.0643862494471</v>
      </c>
      <c r="Y48" s="96">
        <f>(Y23*1000)/90989</f>
        <v>112.22235654859378</v>
      </c>
      <c r="Z48" s="96">
        <f>(Z23*1000)/94439</f>
        <v>111.77585531401222</v>
      </c>
      <c r="AA48" s="96">
        <f>(AA23*1000)/98320</f>
        <v>115.30716029292107</v>
      </c>
      <c r="AB48" s="96">
        <f>(AB23*1000)/101558</f>
        <v>115.83528624037496</v>
      </c>
      <c r="AC48" s="96">
        <v>113.91197320840767</v>
      </c>
      <c r="AD48" s="126">
        <v>112.5638881144875</v>
      </c>
      <c r="AE48" s="97">
        <v>109.86917080731185</v>
      </c>
    </row>
    <row r="49" spans="2:31" ht="28.5" x14ac:dyDescent="0.15">
      <c r="B49" s="18"/>
      <c r="C49" s="98" t="s">
        <v>33</v>
      </c>
      <c r="D49" s="84" t="s">
        <v>34</v>
      </c>
      <c r="E49" s="84" t="s">
        <v>34</v>
      </c>
      <c r="F49" s="84" t="s">
        <v>34</v>
      </c>
      <c r="G49" s="71">
        <v>159</v>
      </c>
      <c r="H49" s="71">
        <v>126.8</v>
      </c>
      <c r="I49" s="71">
        <v>122.8</v>
      </c>
      <c r="J49" s="71">
        <v>105.9</v>
      </c>
      <c r="K49" s="85">
        <v>90.344231791600208</v>
      </c>
      <c r="L49" s="73">
        <v>86.78475850643558</v>
      </c>
      <c r="M49" s="86">
        <v>87.832617362549058</v>
      </c>
      <c r="N49" s="86">
        <v>88.2</v>
      </c>
      <c r="O49" s="86">
        <v>84.3</v>
      </c>
      <c r="P49" s="86">
        <v>82.4</v>
      </c>
      <c r="Q49" s="85">
        <v>81.699776345217728</v>
      </c>
      <c r="R49" s="73">
        <v>81.085154483798036</v>
      </c>
      <c r="S49" s="86">
        <v>78.639996216957485</v>
      </c>
      <c r="T49" s="86">
        <f>(T24*1000)/45429</f>
        <v>77.043298333663515</v>
      </c>
      <c r="U49" s="87">
        <f>(U24*1000)/47414</f>
        <v>79.090563968448137</v>
      </c>
      <c r="V49" s="87">
        <f>(V24*1000)/50651</f>
        <v>77.668752838048604</v>
      </c>
      <c r="W49" s="87">
        <f>(W24*1000)/53238</f>
        <v>80.86329313648146</v>
      </c>
      <c r="X49" s="87">
        <f>(X24*1000)/55466</f>
        <v>78.029784011827061</v>
      </c>
      <c r="Y49" s="87">
        <f>(Y24*1000)/56938</f>
        <v>78.049808563700864</v>
      </c>
      <c r="Z49" s="87">
        <f>(Z24*1000)/58346</f>
        <v>77.451753333561854</v>
      </c>
      <c r="AA49" s="87">
        <f>(AA24*1000)/59846</f>
        <v>77.064465461350807</v>
      </c>
      <c r="AB49" s="87">
        <f>(AB24*1000)/61010</f>
        <v>78.577282412719228</v>
      </c>
      <c r="AC49" s="87">
        <v>74.393020943583821</v>
      </c>
      <c r="AD49" s="125">
        <v>73.371113784588104</v>
      </c>
      <c r="AE49" s="88">
        <v>71.386061080657782</v>
      </c>
    </row>
    <row r="50" spans="2:31" ht="23.1" customHeight="1" x14ac:dyDescent="0.15">
      <c r="B50" s="18"/>
      <c r="C50" s="26" t="s">
        <v>35</v>
      </c>
      <c r="D50" s="84" t="s">
        <v>34</v>
      </c>
      <c r="E50" s="84" t="s">
        <v>34</v>
      </c>
      <c r="F50" s="84" t="s">
        <v>34</v>
      </c>
      <c r="G50" s="71">
        <v>232.9</v>
      </c>
      <c r="H50" s="71">
        <v>199</v>
      </c>
      <c r="I50" s="71">
        <v>200.8</v>
      </c>
      <c r="J50" s="71">
        <v>175.9</v>
      </c>
      <c r="K50" s="85">
        <v>146.29368437548973</v>
      </c>
      <c r="L50" s="73">
        <v>141.56671109136678</v>
      </c>
      <c r="M50" s="86">
        <v>141.20738538137059</v>
      </c>
      <c r="N50" s="86">
        <v>146.6</v>
      </c>
      <c r="O50" s="86">
        <v>136.5</v>
      </c>
      <c r="P50" s="86">
        <v>146.6</v>
      </c>
      <c r="Q50" s="85">
        <v>143.77694418005711</v>
      </c>
      <c r="R50" s="73">
        <v>136.94951664876476</v>
      </c>
      <c r="S50" s="86">
        <v>146.7913879598662</v>
      </c>
      <c r="T50" s="86">
        <f>(T25*1000)/19312</f>
        <v>138.10066280033141</v>
      </c>
      <c r="U50" s="87">
        <f>(U25*1000)/20821</f>
        <v>140.38710916862783</v>
      </c>
      <c r="V50" s="87">
        <f>(V25*1000)/21808</f>
        <v>142.01210564930301</v>
      </c>
      <c r="W50" s="87">
        <f>(W25*1000)/23000</f>
        <v>143.2608695652174</v>
      </c>
      <c r="X50" s="87">
        <f>(X25*1000)/24467</f>
        <v>139.08529856541463</v>
      </c>
      <c r="Y50" s="87">
        <f>(Y25*1000)/25782</f>
        <v>138.70141959506631</v>
      </c>
      <c r="Z50" s="87">
        <f>(Z25*1000)/27165</f>
        <v>136.02061476164181</v>
      </c>
      <c r="AA50" s="87">
        <f>(AA25*1000)/29196</f>
        <v>142.86203589532812</v>
      </c>
      <c r="AB50" s="87">
        <f>(AB25*1000)/30865</f>
        <v>135.78486959339057</v>
      </c>
      <c r="AC50" s="87">
        <v>138.31275848129607</v>
      </c>
      <c r="AD50" s="125">
        <v>137.16309502371089</v>
      </c>
      <c r="AE50" s="88">
        <v>132.90391206713153</v>
      </c>
    </row>
    <row r="51" spans="2:31" ht="23.1" customHeight="1" x14ac:dyDescent="0.15">
      <c r="B51" s="18"/>
      <c r="C51" s="26" t="s">
        <v>36</v>
      </c>
      <c r="D51" s="84" t="s">
        <v>34</v>
      </c>
      <c r="E51" s="84" t="s">
        <v>34</v>
      </c>
      <c r="F51" s="84" t="s">
        <v>34</v>
      </c>
      <c r="G51" s="71">
        <v>429</v>
      </c>
      <c r="H51" s="71">
        <v>319.89999999999998</v>
      </c>
      <c r="I51" s="71">
        <v>287.5</v>
      </c>
      <c r="J51" s="71">
        <v>248.7</v>
      </c>
      <c r="K51" s="85">
        <v>239.04923599320881</v>
      </c>
      <c r="L51" s="73">
        <v>231.70351915291187</v>
      </c>
      <c r="M51" s="86">
        <v>231.54180238870791</v>
      </c>
      <c r="N51" s="86">
        <v>225.4</v>
      </c>
      <c r="O51" s="86">
        <v>222.2</v>
      </c>
      <c r="P51" s="86">
        <v>228</v>
      </c>
      <c r="Q51" s="85">
        <v>235.22595596755505</v>
      </c>
      <c r="R51" s="73">
        <v>237.01588434767089</v>
      </c>
      <c r="S51" s="86">
        <v>237.21087286847882</v>
      </c>
      <c r="T51" s="86">
        <f>(T26*1000)/6389</f>
        <v>209.2659258099859</v>
      </c>
      <c r="U51" s="87">
        <f>(U26*1000)/6050</f>
        <v>254.71074380165288</v>
      </c>
      <c r="V51" s="87">
        <f>(V26*1000)/6402</f>
        <v>255.07653858169323</v>
      </c>
      <c r="W51" s="87">
        <f>(W26*1000)/6847</f>
        <v>247.2615744121513</v>
      </c>
      <c r="X51" s="87">
        <f>(X26*1000)/7133</f>
        <v>243.93663255292304</v>
      </c>
      <c r="Y51" s="87">
        <f>(Y26*1000)/7105</f>
        <v>236.87543983110484</v>
      </c>
      <c r="Z51" s="87">
        <f>(Z26*1000)/7593</f>
        <v>241.8016594231529</v>
      </c>
      <c r="AA51" s="87">
        <f>(AA26*1000)/7929</f>
        <v>247.82444192205827</v>
      </c>
      <c r="AB51" s="87">
        <f>(AB26*1000)/8327</f>
        <v>261.55878467635404</v>
      </c>
      <c r="AC51" s="87">
        <v>249.80475287292199</v>
      </c>
      <c r="AD51" s="125">
        <v>235.14396569328161</v>
      </c>
      <c r="AE51" s="88">
        <v>229.09975669099759</v>
      </c>
    </row>
    <row r="52" spans="2:31" ht="23.1" customHeight="1" thickBot="1" x14ac:dyDescent="0.2">
      <c r="B52" s="55"/>
      <c r="C52" s="56" t="s">
        <v>37</v>
      </c>
      <c r="D52" s="99" t="s">
        <v>34</v>
      </c>
      <c r="E52" s="99" t="s">
        <v>34</v>
      </c>
      <c r="F52" s="99" t="s">
        <v>34</v>
      </c>
      <c r="G52" s="100">
        <v>382.4</v>
      </c>
      <c r="H52" s="100">
        <v>339.6</v>
      </c>
      <c r="I52" s="100">
        <v>404</v>
      </c>
      <c r="J52" s="100">
        <v>361.3</v>
      </c>
      <c r="K52" s="101">
        <v>358.05626598465471</v>
      </c>
      <c r="L52" s="102">
        <v>391.01123595505618</v>
      </c>
      <c r="M52" s="103">
        <v>324.95164410058027</v>
      </c>
      <c r="N52" s="103">
        <v>360.6</v>
      </c>
      <c r="O52" s="103">
        <v>302.89999999999998</v>
      </c>
      <c r="P52" s="103">
        <v>415.2</v>
      </c>
      <c r="Q52" s="101">
        <v>335.05821474773609</v>
      </c>
      <c r="R52" s="102">
        <v>344.7488584474886</v>
      </c>
      <c r="S52" s="103">
        <v>363.27345309381235</v>
      </c>
      <c r="T52" s="103">
        <f>(T27*1000)/1105</f>
        <v>351.13122171945702</v>
      </c>
      <c r="U52" s="104">
        <f>(U27*1000)/970</f>
        <v>380.41237113402065</v>
      </c>
      <c r="V52" s="104">
        <f>(V27*1000)/980</f>
        <v>485.71428571428572</v>
      </c>
      <c r="W52" s="104">
        <f>(W27*1000)/1055</f>
        <v>392.41706161137444</v>
      </c>
      <c r="X52" s="104">
        <f>(X27*1000)/1105</f>
        <v>450.6787330316742</v>
      </c>
      <c r="Y52" s="104">
        <f>(Y27*1000)/1164</f>
        <v>436.42611683848799</v>
      </c>
      <c r="Z52" s="104">
        <f>(Z27*1000)/1335</f>
        <v>379.02621722846442</v>
      </c>
      <c r="AA52" s="104">
        <f>(AA27*1000)/1349</f>
        <v>436.61971830985914</v>
      </c>
      <c r="AB52" s="104">
        <f>(AB27*1000)/1356</f>
        <v>443.21533923303832</v>
      </c>
      <c r="AC52" s="104">
        <v>461.24905944319039</v>
      </c>
      <c r="AD52" s="127">
        <v>456.25942684766216</v>
      </c>
      <c r="AE52" s="105">
        <v>373.5431235431235</v>
      </c>
    </row>
    <row r="53" spans="2:31" ht="21.95" customHeight="1" x14ac:dyDescent="0.15">
      <c r="B53" s="2" t="s">
        <v>45</v>
      </c>
    </row>
    <row r="54" spans="2:31" ht="21.75" customHeight="1" x14ac:dyDescent="0.15">
      <c r="B54" s="2" t="s">
        <v>47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死亡数率年齢階級推移</vt:lpstr>
      <vt:lpstr>'第２表　死亡数率年齢階級推移'!Print_Area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2021-02-19T06:34:51Z</cp:lastPrinted>
  <dcterms:created xsi:type="dcterms:W3CDTF">2021-02-19T06:30:37Z</dcterms:created>
  <dcterms:modified xsi:type="dcterms:W3CDTF">2022-01-27T02:31:14Z</dcterms:modified>
</cp:coreProperties>
</file>